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date1904="1" showInkAnnotation="0" autoCompressPictures="0"/>
  <bookViews>
    <workbookView xWindow="2320" yWindow="760" windowWidth="20000" windowHeight="15960"/>
  </bookViews>
  <sheets>
    <sheet name="見方・使い方" sheetId="35" r:id="rId1"/>
    <sheet name="p56-残響時間の推定式" sheetId="31" r:id="rId2"/>
    <sheet name="p57-サンプルケース" sheetId="20" r:id="rId3"/>
    <sheet name="p57&lt;Ch.1&gt;" sheetId="32" r:id="rId4"/>
    <sheet name="p67&lt;Ch.2&gt;" sheetId="27" r:id="rId5"/>
    <sheet name="回折のグラフ" sheetId="26" r:id="rId6"/>
    <sheet name="p70-サンプルケース" sheetId="23" r:id="rId7"/>
    <sheet name="p70＜Ch.3&gt;" sheetId="33" r:id="rId8"/>
    <sheet name="p73-サンプルケース" sheetId="24" r:id="rId9"/>
    <sheet name="p76&lt;Ch.4&gt;" sheetId="29" r:id="rId10"/>
  </sheets>
  <calcPr calcId="140001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1" i="24" l="1"/>
  <c r="L12" i="24"/>
  <c r="J12" i="24"/>
  <c r="J6" i="24"/>
  <c r="E18" i="24"/>
  <c r="H19" i="24"/>
  <c r="H18" i="24"/>
  <c r="J18" i="24"/>
  <c r="J19" i="24"/>
  <c r="J13" i="24"/>
  <c r="L6" i="24"/>
  <c r="H6" i="24"/>
  <c r="G10" i="33"/>
  <c r="H10" i="33"/>
  <c r="I10" i="33"/>
  <c r="M13" i="33"/>
  <c r="M12" i="33"/>
  <c r="M11" i="33"/>
  <c r="M10" i="33"/>
  <c r="O42" i="23"/>
  <c r="G4" i="33"/>
  <c r="H4" i="33"/>
  <c r="I4" i="33"/>
  <c r="M8" i="33"/>
  <c r="M5" i="33"/>
  <c r="M4" i="33"/>
  <c r="Q8" i="33"/>
  <c r="R5" i="33"/>
  <c r="P5" i="33"/>
  <c r="M6" i="33"/>
  <c r="Q6" i="33"/>
  <c r="D5" i="23"/>
  <c r="I36" i="23"/>
  <c r="K36" i="23"/>
  <c r="P36" i="23"/>
  <c r="O36" i="23"/>
  <c r="N36" i="23"/>
  <c r="M36" i="23"/>
  <c r="I35" i="23"/>
  <c r="K35" i="23"/>
  <c r="P35" i="23"/>
  <c r="O35" i="23"/>
  <c r="N35" i="23"/>
  <c r="M35" i="23"/>
  <c r="I34" i="23"/>
  <c r="K34" i="23"/>
  <c r="P34" i="23"/>
  <c r="O34" i="23"/>
  <c r="N34" i="23"/>
  <c r="M34" i="23"/>
  <c r="I33" i="23"/>
  <c r="K33" i="23"/>
  <c r="P33" i="23"/>
  <c r="O33" i="23"/>
  <c r="N33" i="23"/>
  <c r="M33" i="23"/>
  <c r="I32" i="23"/>
  <c r="K32" i="23"/>
  <c r="P32" i="23"/>
  <c r="O32" i="23"/>
  <c r="N32" i="23"/>
  <c r="M32" i="23"/>
  <c r="F10" i="26"/>
  <c r="R4" i="33"/>
  <c r="O4" i="33"/>
  <c r="G25" i="23"/>
  <c r="M7" i="33"/>
  <c r="Q4" i="33"/>
  <c r="P4" i="33"/>
  <c r="Q8" i="32"/>
  <c r="R8" i="32"/>
  <c r="S8" i="32"/>
  <c r="T8" i="32"/>
  <c r="U8" i="32"/>
  <c r="W8" i="32"/>
  <c r="X13" i="32"/>
  <c r="D8" i="32"/>
  <c r="Q20" i="32"/>
  <c r="R20" i="32"/>
  <c r="S20" i="32"/>
  <c r="T20" i="32"/>
  <c r="U20" i="32"/>
  <c r="W20" i="32"/>
  <c r="X25" i="32"/>
  <c r="D20" i="32"/>
  <c r="D27" i="32"/>
  <c r="I12" i="29"/>
  <c r="G6" i="29"/>
  <c r="H15" i="27"/>
  <c r="F15" i="27"/>
  <c r="C15" i="27"/>
  <c r="C13" i="27"/>
  <c r="F8" i="27"/>
  <c r="H8" i="27"/>
  <c r="J8" i="27"/>
  <c r="C8" i="27"/>
  <c r="C6" i="27"/>
  <c r="O14" i="20"/>
  <c r="S8" i="20"/>
  <c r="U18" i="31"/>
  <c r="W7" i="31"/>
  <c r="W18" i="31"/>
  <c r="H40" i="35"/>
  <c r="H39" i="35"/>
  <c r="H36" i="35"/>
  <c r="H35" i="35"/>
  <c r="H34" i="35"/>
  <c r="H33" i="35"/>
  <c r="H32" i="35"/>
  <c r="B13" i="35"/>
  <c r="O8" i="20"/>
  <c r="G12" i="29"/>
  <c r="H20" i="32"/>
  <c r="F20" i="32"/>
  <c r="I22" i="29"/>
  <c r="G22" i="29"/>
  <c r="G20" i="29"/>
  <c r="G19" i="29"/>
  <c r="G18" i="29"/>
  <c r="G17" i="29"/>
  <c r="G7" i="29"/>
  <c r="G8" i="29"/>
  <c r="G9" i="29"/>
  <c r="G10" i="29"/>
  <c r="E19" i="24"/>
  <c r="E25" i="24"/>
  <c r="H25" i="24"/>
  <c r="E7" i="24"/>
  <c r="L25" i="24"/>
  <c r="J25" i="24"/>
  <c r="E6" i="24"/>
  <c r="F31" i="24"/>
  <c r="E31" i="24"/>
  <c r="L31" i="24"/>
  <c r="E20" i="24"/>
  <c r="E26" i="24"/>
  <c r="H26" i="24"/>
  <c r="E8" i="24"/>
  <c r="L26" i="24"/>
  <c r="J26" i="24"/>
  <c r="E24" i="24"/>
  <c r="H24" i="24"/>
  <c r="L20" i="24"/>
  <c r="L19" i="24"/>
  <c r="E14" i="24"/>
  <c r="L14" i="24"/>
  <c r="E13" i="24"/>
  <c r="L13" i="24"/>
  <c r="E12" i="24"/>
  <c r="F33" i="24"/>
  <c r="E33" i="24"/>
  <c r="L33" i="24"/>
  <c r="F32" i="24"/>
  <c r="E32" i="24"/>
  <c r="L32" i="24"/>
  <c r="H31" i="24"/>
  <c r="L24" i="24"/>
  <c r="J24" i="24"/>
  <c r="H20" i="24"/>
  <c r="J20" i="24"/>
  <c r="L18" i="24"/>
  <c r="L7" i="24"/>
  <c r="L8" i="24"/>
  <c r="H12" i="24"/>
  <c r="J7" i="24"/>
  <c r="H8" i="32"/>
  <c r="F8" i="32"/>
  <c r="K14" i="33"/>
  <c r="M14" i="33"/>
  <c r="R14" i="33"/>
  <c r="Q14" i="33"/>
  <c r="P14" i="33"/>
  <c r="O14" i="33"/>
  <c r="K13" i="33"/>
  <c r="R13" i="33"/>
  <c r="Q13" i="33"/>
  <c r="P13" i="33"/>
  <c r="O13" i="33"/>
  <c r="K12" i="33"/>
  <c r="R12" i="33"/>
  <c r="Q12" i="33"/>
  <c r="P12" i="33"/>
  <c r="O12" i="33"/>
  <c r="K11" i="33"/>
  <c r="R11" i="33"/>
  <c r="Q11" i="33"/>
  <c r="P11" i="33"/>
  <c r="O11" i="33"/>
  <c r="K10" i="33"/>
  <c r="R10" i="33"/>
  <c r="Q10" i="33"/>
  <c r="P10" i="33"/>
  <c r="O10" i="33"/>
  <c r="K8" i="33"/>
  <c r="R8" i="33"/>
  <c r="P8" i="33"/>
  <c r="O8" i="33"/>
  <c r="K7" i="33"/>
  <c r="R7" i="33"/>
  <c r="Q7" i="33"/>
  <c r="P7" i="33"/>
  <c r="O7" i="33"/>
  <c r="K6" i="33"/>
  <c r="R6" i="33"/>
  <c r="P6" i="33"/>
  <c r="O6" i="33"/>
  <c r="K5" i="33"/>
  <c r="Q5" i="33"/>
  <c r="O5" i="33"/>
  <c r="K4" i="33"/>
  <c r="E25" i="23"/>
  <c r="F25" i="23"/>
  <c r="I29" i="23"/>
  <c r="K29" i="23"/>
  <c r="P29" i="23"/>
  <c r="O29" i="23"/>
  <c r="N29" i="23"/>
  <c r="M29" i="23"/>
  <c r="I28" i="23"/>
  <c r="K28" i="23"/>
  <c r="P28" i="23"/>
  <c r="O28" i="23"/>
  <c r="N28" i="23"/>
  <c r="M28" i="23"/>
  <c r="I27" i="23"/>
  <c r="K27" i="23"/>
  <c r="P27" i="23"/>
  <c r="O27" i="23"/>
  <c r="N27" i="23"/>
  <c r="M27" i="23"/>
  <c r="I26" i="23"/>
  <c r="K26" i="23"/>
  <c r="P26" i="23"/>
  <c r="O26" i="23"/>
  <c r="N26" i="23"/>
  <c r="M26" i="23"/>
  <c r="I25" i="23"/>
  <c r="K25" i="23"/>
  <c r="P25" i="23"/>
  <c r="O25" i="23"/>
  <c r="N25" i="23"/>
  <c r="M25" i="23"/>
  <c r="E40" i="23"/>
  <c r="F40" i="23"/>
  <c r="G40" i="23"/>
  <c r="I40" i="23"/>
  <c r="K40" i="23"/>
  <c r="I42" i="23"/>
  <c r="K42" i="23"/>
  <c r="R29" i="31"/>
  <c r="S29" i="31"/>
  <c r="T29" i="31"/>
  <c r="U29" i="31"/>
  <c r="W29" i="31"/>
  <c r="Q29" i="31"/>
  <c r="H29" i="31"/>
  <c r="F29" i="31"/>
  <c r="D29" i="31"/>
  <c r="R18" i="31"/>
  <c r="S18" i="31"/>
  <c r="T18" i="31"/>
  <c r="Q18" i="31"/>
  <c r="H18" i="31"/>
  <c r="F18" i="31"/>
  <c r="D18" i="31"/>
  <c r="Q7" i="31"/>
  <c r="R7" i="31"/>
  <c r="S7" i="31"/>
  <c r="T7" i="31"/>
  <c r="U7" i="31"/>
  <c r="H7" i="31"/>
  <c r="F7" i="31"/>
  <c r="D7" i="31"/>
  <c r="J14" i="20"/>
  <c r="K14" i="20"/>
  <c r="L14" i="20"/>
  <c r="M14" i="20"/>
  <c r="I14" i="20"/>
  <c r="Q14" i="20"/>
  <c r="S14" i="20"/>
  <c r="I8" i="20"/>
  <c r="J8" i="20"/>
  <c r="K8" i="20"/>
  <c r="L8" i="20"/>
  <c r="M8" i="20"/>
  <c r="Q8" i="20"/>
  <c r="G15" i="26"/>
  <c r="G14" i="26"/>
  <c r="G13" i="26"/>
  <c r="G12" i="26"/>
  <c r="G11" i="26"/>
  <c r="H10" i="26"/>
  <c r="G10" i="26"/>
  <c r="H9" i="26"/>
  <c r="F9" i="26"/>
  <c r="H8" i="26"/>
  <c r="F8" i="26"/>
  <c r="H7" i="26"/>
  <c r="F7" i="26"/>
  <c r="H6" i="26"/>
  <c r="F6" i="26"/>
  <c r="E6" i="26"/>
  <c r="H5" i="26"/>
  <c r="F5" i="26"/>
  <c r="E5" i="26"/>
  <c r="H4" i="26"/>
  <c r="F4" i="26"/>
  <c r="E4" i="26"/>
  <c r="H3" i="26"/>
  <c r="F3" i="26"/>
  <c r="E3" i="26"/>
  <c r="J33" i="24"/>
  <c r="H33" i="24"/>
  <c r="J32" i="24"/>
  <c r="H32" i="24"/>
  <c r="H14" i="24"/>
  <c r="J14" i="24"/>
  <c r="H13" i="24"/>
  <c r="J8" i="24"/>
  <c r="H8" i="24"/>
  <c r="H7" i="24"/>
  <c r="K52" i="23"/>
  <c r="P52" i="23"/>
  <c r="O52" i="23"/>
  <c r="N52" i="23"/>
  <c r="M52" i="23"/>
  <c r="E46" i="23"/>
  <c r="F46" i="23"/>
  <c r="G46" i="23"/>
  <c r="I50" i="23"/>
  <c r="K50" i="23"/>
  <c r="P50" i="23"/>
  <c r="O50" i="23"/>
  <c r="N50" i="23"/>
  <c r="M50" i="23"/>
  <c r="I49" i="23"/>
  <c r="K49" i="23"/>
  <c r="P49" i="23"/>
  <c r="O49" i="23"/>
  <c r="N49" i="23"/>
  <c r="M49" i="23"/>
  <c r="I48" i="23"/>
  <c r="K48" i="23"/>
  <c r="P48" i="23"/>
  <c r="O48" i="23"/>
  <c r="N48" i="23"/>
  <c r="M48" i="23"/>
  <c r="I47" i="23"/>
  <c r="K47" i="23"/>
  <c r="P47" i="23"/>
  <c r="O47" i="23"/>
  <c r="N47" i="23"/>
  <c r="M47" i="23"/>
  <c r="I46" i="23"/>
  <c r="K46" i="23"/>
  <c r="P46" i="23"/>
  <c r="O46" i="23"/>
  <c r="N46" i="23"/>
  <c r="M46" i="23"/>
  <c r="I44" i="23"/>
  <c r="K44" i="23"/>
  <c r="P44" i="23"/>
  <c r="O44" i="23"/>
  <c r="N44" i="23"/>
  <c r="M44" i="23"/>
  <c r="I43" i="23"/>
  <c r="K43" i="23"/>
  <c r="P43" i="23"/>
  <c r="O43" i="23"/>
  <c r="N43" i="23"/>
  <c r="M43" i="23"/>
  <c r="P42" i="23"/>
  <c r="N42" i="23"/>
  <c r="M42" i="23"/>
  <c r="I41" i="23"/>
  <c r="K41" i="23"/>
  <c r="P41" i="23"/>
  <c r="O41" i="23"/>
  <c r="N41" i="23"/>
  <c r="M41" i="23"/>
  <c r="P40" i="23"/>
  <c r="O40" i="23"/>
  <c r="N40" i="23"/>
  <c r="M40" i="23"/>
  <c r="O22" i="23"/>
  <c r="O21" i="23"/>
  <c r="I4" i="23"/>
  <c r="I21" i="23"/>
  <c r="H4" i="23"/>
  <c r="H21" i="23"/>
  <c r="G4" i="23"/>
  <c r="G21" i="23"/>
  <c r="F4" i="23"/>
  <c r="F21" i="23"/>
  <c r="E4" i="23"/>
  <c r="E21" i="23"/>
  <c r="D4" i="23"/>
  <c r="D21" i="23"/>
  <c r="O20" i="23"/>
  <c r="I20" i="23"/>
  <c r="H20" i="23"/>
  <c r="G20" i="23"/>
  <c r="F20" i="23"/>
  <c r="E20" i="23"/>
  <c r="D20" i="23"/>
  <c r="O19" i="23"/>
  <c r="I19" i="23"/>
  <c r="H19" i="23"/>
  <c r="G19" i="23"/>
  <c r="F19" i="23"/>
  <c r="E19" i="23"/>
  <c r="D19" i="23"/>
  <c r="O18" i="23"/>
  <c r="I18" i="23"/>
  <c r="H18" i="23"/>
  <c r="G18" i="23"/>
  <c r="F18" i="23"/>
  <c r="E18" i="23"/>
  <c r="D18" i="23"/>
  <c r="O17" i="23"/>
  <c r="I17" i="23"/>
  <c r="H17" i="23"/>
  <c r="G17" i="23"/>
  <c r="F17" i="23"/>
  <c r="E17" i="23"/>
  <c r="D17" i="23"/>
  <c r="O16" i="23"/>
  <c r="I16" i="23"/>
  <c r="H16" i="23"/>
  <c r="G16" i="23"/>
  <c r="F16" i="23"/>
  <c r="E16" i="23"/>
  <c r="D16" i="23"/>
  <c r="O15" i="23"/>
  <c r="I15" i="23"/>
  <c r="H15" i="23"/>
  <c r="G15" i="23"/>
  <c r="F15" i="23"/>
  <c r="E15" i="23"/>
  <c r="D15" i="23"/>
  <c r="P14" i="23"/>
  <c r="O14" i="23"/>
  <c r="N14" i="23"/>
  <c r="I14" i="23"/>
  <c r="H14" i="23"/>
  <c r="G14" i="23"/>
  <c r="F14" i="23"/>
  <c r="E14" i="23"/>
  <c r="D14" i="23"/>
  <c r="P13" i="23"/>
  <c r="N13" i="23"/>
  <c r="I13" i="23"/>
  <c r="H13" i="23"/>
  <c r="G13" i="23"/>
  <c r="F13" i="23"/>
  <c r="E13" i="23"/>
  <c r="D13" i="23"/>
  <c r="P12" i="23"/>
  <c r="N12" i="23"/>
  <c r="I12" i="23"/>
  <c r="H12" i="23"/>
  <c r="G12" i="23"/>
  <c r="F12" i="23"/>
  <c r="E12" i="23"/>
  <c r="D12" i="23"/>
  <c r="P11" i="23"/>
  <c r="N11" i="23"/>
  <c r="I11" i="23"/>
  <c r="H11" i="23"/>
  <c r="G11" i="23"/>
  <c r="F11" i="23"/>
  <c r="E11" i="23"/>
  <c r="D11" i="23"/>
  <c r="P10" i="23"/>
  <c r="N10" i="23"/>
  <c r="I10" i="23"/>
  <c r="H10" i="23"/>
  <c r="G10" i="23"/>
  <c r="F10" i="23"/>
  <c r="E10" i="23"/>
  <c r="D10" i="23"/>
  <c r="P9" i="23"/>
  <c r="N9" i="23"/>
  <c r="I9" i="23"/>
  <c r="H9" i="23"/>
  <c r="G9" i="23"/>
  <c r="F9" i="23"/>
  <c r="E9" i="23"/>
  <c r="D9" i="23"/>
  <c r="P8" i="23"/>
  <c r="M8" i="23"/>
  <c r="I8" i="23"/>
  <c r="H8" i="23"/>
  <c r="G8" i="23"/>
  <c r="F8" i="23"/>
  <c r="E8" i="23"/>
  <c r="D8" i="23"/>
  <c r="P7" i="23"/>
  <c r="M7" i="23"/>
  <c r="I7" i="23"/>
  <c r="H7" i="23"/>
  <c r="G7" i="23"/>
  <c r="F7" i="23"/>
  <c r="E7" i="23"/>
  <c r="D7" i="23"/>
  <c r="I6" i="23"/>
  <c r="H6" i="23"/>
  <c r="G6" i="23"/>
  <c r="F6" i="23"/>
  <c r="E6" i="23"/>
  <c r="D6" i="23"/>
  <c r="I5" i="23"/>
  <c r="H5" i="23"/>
  <c r="G5" i="23"/>
  <c r="F5" i="23"/>
  <c r="E5" i="23"/>
</calcChain>
</file>

<file path=xl/sharedStrings.xml><?xml version="1.0" encoding="utf-8"?>
<sst xmlns="http://schemas.openxmlformats.org/spreadsheetml/2006/main" count="566" uniqueCount="252">
  <si>
    <t>窓</t>
    <rPh sb="0" eb="1">
      <t>マド</t>
    </rPh>
    <phoneticPr fontId="3"/>
  </si>
  <si>
    <t>=</t>
    <phoneticPr fontId="2"/>
  </si>
  <si>
    <t>■残響時間の推定式</t>
    <rPh sb="1" eb="5">
      <t>ザンキョウジカン</t>
    </rPh>
    <rPh sb="6" eb="9">
      <t>スイテイシキ</t>
    </rPh>
    <phoneticPr fontId="2"/>
  </si>
  <si>
    <t>床・天井</t>
    <rPh sb="0" eb="1">
      <t>ユカ</t>
    </rPh>
    <rPh sb="2" eb="4">
      <t>テンジョウ</t>
    </rPh>
    <phoneticPr fontId="3"/>
  </si>
  <si>
    <t>手前・奥壁</t>
    <rPh sb="0" eb="2">
      <t>テマエ</t>
    </rPh>
    <rPh sb="3" eb="5">
      <t>オクカベ</t>
    </rPh>
    <phoneticPr fontId="3"/>
  </si>
  <si>
    <t>側壁</t>
    <rPh sb="0" eb="2">
      <t>ガワカベ</t>
    </rPh>
    <phoneticPr fontId="3"/>
  </si>
  <si>
    <t>セービン</t>
    <phoneticPr fontId="3"/>
  </si>
  <si>
    <t>アイリング</t>
    <phoneticPr fontId="3"/>
  </si>
  <si>
    <t>T</t>
    <phoneticPr fontId="3"/>
  </si>
  <si>
    <t>x</t>
    <phoneticPr fontId="3"/>
  </si>
  <si>
    <t>y</t>
    <phoneticPr fontId="3"/>
  </si>
  <si>
    <t>h</t>
    <phoneticPr fontId="3"/>
  </si>
  <si>
    <t>V</t>
    <phoneticPr fontId="3"/>
  </si>
  <si>
    <t>S1</t>
    <phoneticPr fontId="3"/>
  </si>
  <si>
    <t>S2</t>
  </si>
  <si>
    <t>S3</t>
  </si>
  <si>
    <t>S</t>
    <phoneticPr fontId="3"/>
  </si>
  <si>
    <t>α</t>
    <phoneticPr fontId="3"/>
  </si>
  <si>
    <t>α</t>
    <phoneticPr fontId="3"/>
  </si>
  <si>
    <t>サンプルケース（１）</t>
    <phoneticPr fontId="3"/>
  </si>
  <si>
    <t>α=0.161･V/(S･T）</t>
  </si>
  <si>
    <t>α=1-exp(-0.161･V/(S･T))</t>
    <phoneticPr fontId="3"/>
  </si>
  <si>
    <t>サンプルケース（２）</t>
  </si>
  <si>
    <t>α</t>
    <phoneticPr fontId="3"/>
  </si>
  <si>
    <t>α=0.161･V/(S'･T）</t>
    <phoneticPr fontId="3"/>
  </si>
  <si>
    <t>↑手前を面積０，奥を２倍と見なすという技を使っています</t>
    <rPh sb="1" eb="3">
      <t>テマエ</t>
    </rPh>
    <rPh sb="4" eb="6">
      <t>メンセキ</t>
    </rPh>
    <rPh sb="8" eb="9">
      <t>オク</t>
    </rPh>
    <rPh sb="11" eb="12">
      <t>バイ</t>
    </rPh>
    <rPh sb="13" eb="14">
      <t>ミ</t>
    </rPh>
    <rPh sb="19" eb="20">
      <t>ワザ</t>
    </rPh>
    <rPh sb="21" eb="22">
      <t>ツカ</t>
    </rPh>
    <phoneticPr fontId="3"/>
  </si>
  <si>
    <t>ヌートセン</t>
    <phoneticPr fontId="2"/>
  </si>
  <si>
    <t>Nの計算表</t>
    <rPh sb="2" eb="5">
      <t>ケイサンヒョウ</t>
    </rPh>
    <phoneticPr fontId="3"/>
  </si>
  <si>
    <t>f</t>
    <phoneticPr fontId="3"/>
  </si>
  <si>
    <t>λ</t>
    <phoneticPr fontId="3"/>
  </si>
  <si>
    <t>δ</t>
    <phoneticPr fontId="3"/>
  </si>
  <si>
    <t>N</t>
    <phoneticPr fontId="3"/>
  </si>
  <si>
    <t>N&lt;-0.322</t>
    <phoneticPr fontId="3"/>
  </si>
  <si>
    <t>-0.322≦N&lt;0</t>
    <phoneticPr fontId="3"/>
  </si>
  <si>
    <t>0≦N&lt;1</t>
    <phoneticPr fontId="3"/>
  </si>
  <si>
    <t>N≧1</t>
    <phoneticPr fontId="3"/>
  </si>
  <si>
    <t>0.485N</t>
    <phoneticPr fontId="3"/>
  </si>
  <si>
    <t>↓書き換え</t>
    <rPh sb="1" eb="2">
      <t>カ</t>
    </rPh>
    <rPh sb="3" eb="4">
      <t>カ</t>
    </rPh>
    <phoneticPr fontId="3"/>
  </si>
  <si>
    <t>d1</t>
    <phoneticPr fontId="3"/>
  </si>
  <si>
    <t>d2</t>
    <phoneticPr fontId="3"/>
  </si>
  <si>
    <t>he</t>
    <phoneticPr fontId="3"/>
  </si>
  <si>
    <t>a</t>
    <phoneticPr fontId="3"/>
  </si>
  <si>
    <t>b</t>
    <phoneticPr fontId="3"/>
  </si>
  <si>
    <t>δ</t>
    <phoneticPr fontId="3"/>
  </si>
  <si>
    <t>f</t>
    <phoneticPr fontId="3"/>
  </si>
  <si>
    <t>λ</t>
    <phoneticPr fontId="3"/>
  </si>
  <si>
    <t>N</t>
    <phoneticPr fontId="3"/>
  </si>
  <si>
    <t>-0.322≦N&lt;0</t>
    <phoneticPr fontId="3"/>
  </si>
  <si>
    <t>0≦N&lt;1</t>
    <phoneticPr fontId="3"/>
  </si>
  <si>
    <t>N≧1</t>
    <phoneticPr fontId="3"/>
  </si>
  <si>
    <t>サンプルケース１</t>
    <phoneticPr fontId="3"/>
  </si>
  <si>
    <t>サンプルケース２</t>
    <phoneticPr fontId="3"/>
  </si>
  <si>
    <t>壁体</t>
    <rPh sb="0" eb="2">
      <t>ヘキタイ</t>
    </rPh>
    <phoneticPr fontId="3"/>
  </si>
  <si>
    <t>壁体の透過損失</t>
    <rPh sb="0" eb="2">
      <t>ヘキタイ</t>
    </rPh>
    <rPh sb="3" eb="7">
      <t>トウカソ</t>
    </rPh>
    <phoneticPr fontId="3"/>
  </si>
  <si>
    <t>Si*τi</t>
    <phoneticPr fontId="3"/>
  </si>
  <si>
    <t>換気口・窓なし</t>
    <rPh sb="0" eb="3">
      <t>カンキコウ</t>
    </rPh>
    <rPh sb="4" eb="5">
      <t>マド</t>
    </rPh>
    <phoneticPr fontId="3"/>
  </si>
  <si>
    <t>W</t>
    <phoneticPr fontId="3"/>
  </si>
  <si>
    <t>D</t>
    <phoneticPr fontId="3"/>
  </si>
  <si>
    <t>H</t>
    <phoneticPr fontId="3"/>
  </si>
  <si>
    <t>表面積</t>
    <rPh sb="0" eb="3">
      <t>ヒョウメンセキ</t>
    </rPh>
    <phoneticPr fontId="3"/>
  </si>
  <si>
    <t>壁体の透過損失</t>
    <rPh sb="0" eb="2">
      <t>ヘキタイ</t>
    </rPh>
    <rPh sb="3" eb="7">
      <t>トウカソンシツ</t>
    </rPh>
    <phoneticPr fontId="3"/>
  </si>
  <si>
    <t>総合透過損失</t>
    <rPh sb="0" eb="6">
      <t>ソウゴウトウカソンシツ</t>
    </rPh>
    <phoneticPr fontId="3"/>
  </si>
  <si>
    <t>-30dB：τ=1/1,000</t>
    <phoneticPr fontId="3"/>
  </si>
  <si>
    <t>τ=30dB</t>
    <phoneticPr fontId="3"/>
  </si>
  <si>
    <t>-40dB：τ=1/10,000</t>
    <phoneticPr fontId="3"/>
  </si>
  <si>
    <t>τ=40dB</t>
    <phoneticPr fontId="3"/>
  </si>
  <si>
    <t>-50dB：τ=1/100,000</t>
    <phoneticPr fontId="3"/>
  </si>
  <si>
    <t>τ=50dB</t>
    <phoneticPr fontId="3"/>
  </si>
  <si>
    <t>換気口</t>
    <rPh sb="0" eb="3">
      <t>カンキコウ</t>
    </rPh>
    <phoneticPr fontId="3"/>
  </si>
  <si>
    <t>換気口の透過損失</t>
    <rPh sb="0" eb="3">
      <t>カンキコウ</t>
    </rPh>
    <rPh sb="4" eb="8">
      <t>トウカソンシツ</t>
    </rPh>
    <phoneticPr fontId="3"/>
  </si>
  <si>
    <t>換気口あり</t>
    <rPh sb="0" eb="3">
      <t>カンキコウア</t>
    </rPh>
    <phoneticPr fontId="3"/>
  </si>
  <si>
    <t>W</t>
    <phoneticPr fontId="3"/>
  </si>
  <si>
    <t>D</t>
    <phoneticPr fontId="3"/>
  </si>
  <si>
    <t>H</t>
    <phoneticPr fontId="3"/>
  </si>
  <si>
    <t>0dB：τ=1</t>
    <phoneticPr fontId="3"/>
  </si>
  <si>
    <t>τ=30dB</t>
    <phoneticPr fontId="3"/>
  </si>
  <si>
    <t>τ=40dB</t>
    <phoneticPr fontId="3"/>
  </si>
  <si>
    <t>窓の透過損失</t>
    <rPh sb="0" eb="1">
      <t>マド</t>
    </rPh>
    <rPh sb="2" eb="6">
      <t>トウカソンシツ</t>
    </rPh>
    <phoneticPr fontId="3"/>
  </si>
  <si>
    <t>W</t>
    <phoneticPr fontId="3"/>
  </si>
  <si>
    <t>D</t>
    <phoneticPr fontId="3"/>
  </si>
  <si>
    <t>H</t>
    <phoneticPr fontId="3"/>
  </si>
  <si>
    <t>20dB：τ=1/100</t>
    <phoneticPr fontId="3"/>
  </si>
  <si>
    <t>W</t>
    <phoneticPr fontId="3"/>
  </si>
  <si>
    <t>ドア隙間</t>
    <rPh sb="2" eb="4">
      <t>スキマ</t>
    </rPh>
    <phoneticPr fontId="3"/>
  </si>
  <si>
    <t>ドア部分の透過損失</t>
    <rPh sb="2" eb="4">
      <t>ブブン</t>
    </rPh>
    <rPh sb="5" eb="9">
      <t>トウカソンシツ</t>
    </rPh>
    <phoneticPr fontId="3"/>
  </si>
  <si>
    <t>20dB：τ=1/100</t>
    <phoneticPr fontId="3"/>
  </si>
  <si>
    <t>N≧1</t>
    <phoneticPr fontId="3"/>
  </si>
  <si>
    <t>■音の合成</t>
    <rPh sb="1" eb="2">
      <t>オト</t>
    </rPh>
    <rPh sb="3" eb="5">
      <t>ゴウセイ</t>
    </rPh>
    <phoneticPr fontId="2"/>
  </si>
  <si>
    <t>■回折による音の減衰量の計算</t>
    <rPh sb="1" eb="3">
      <t>カイセツ</t>
    </rPh>
    <rPh sb="6" eb="7">
      <t>オト</t>
    </rPh>
    <rPh sb="8" eb="10">
      <t>ゲンスイ</t>
    </rPh>
    <rPh sb="10" eb="11">
      <t>リョウ</t>
    </rPh>
    <rPh sb="12" eb="14">
      <t>ケイサン</t>
    </rPh>
    <phoneticPr fontId="2"/>
  </si>
  <si>
    <t>音（１）</t>
    <rPh sb="0" eb="1">
      <t>オト</t>
    </rPh>
    <phoneticPr fontId="2"/>
  </si>
  <si>
    <t>合成された音</t>
    <rPh sb="0" eb="2">
      <t>ゴウセイ</t>
    </rPh>
    <rPh sb="5" eb="6">
      <t>オト</t>
    </rPh>
    <phoneticPr fontId="2"/>
  </si>
  <si>
    <t>［dB］</t>
    <phoneticPr fontId="2"/>
  </si>
  <si>
    <t>音（２）</t>
    <rPh sb="0" eb="1">
      <t>オト</t>
    </rPh>
    <phoneticPr fontId="2"/>
  </si>
  <si>
    <t>音（３）</t>
    <rPh sb="0" eb="1">
      <t>オト</t>
    </rPh>
    <phoneticPr fontId="2"/>
  </si>
  <si>
    <t>↓</t>
    <phoneticPr fontId="2"/>
  </si>
  <si>
    <t>=</t>
    <phoneticPr fontId="2"/>
  </si>
  <si>
    <t>＋</t>
    <phoneticPr fontId="2"/>
  </si>
  <si>
    <t>（例）</t>
    <rPh sb="1" eb="2">
      <t>レイ</t>
    </rPh>
    <phoneticPr fontId="2"/>
  </si>
  <si>
    <t>室容積</t>
    <rPh sb="0" eb="3">
      <t>シツヨウセキ</t>
    </rPh>
    <phoneticPr fontId="2"/>
  </si>
  <si>
    <t>面積</t>
    <rPh sb="0" eb="2">
      <t>メンセキ</t>
    </rPh>
    <phoneticPr fontId="2"/>
  </si>
  <si>
    <t>m</t>
    <phoneticPr fontId="2"/>
  </si>
  <si>
    <t>α=1-exp(-(0.161-4mT)･V/(S･T))</t>
    <phoneticPr fontId="3"/>
  </si>
  <si>
    <t>■設定した残響時間を得るための吸音率</t>
    <rPh sb="1" eb="3">
      <t>セッテイ</t>
    </rPh>
    <rPh sb="5" eb="9">
      <t>ザンキョウジカン</t>
    </rPh>
    <rPh sb="10" eb="11">
      <t>エ</t>
    </rPh>
    <rPh sb="15" eb="18">
      <t>キュウオンリツ</t>
    </rPh>
    <phoneticPr fontId="2"/>
  </si>
  <si>
    <t>S'</t>
    <phoneticPr fontId="3"/>
  </si>
  <si>
    <t>αstage=0</t>
    <phoneticPr fontId="3"/>
  </si>
  <si>
    <t>αfarwall＝2×α</t>
    <phoneticPr fontId="3"/>
  </si>
  <si>
    <t>平均吸音率</t>
    <rPh sb="0" eb="2">
      <t>ヘイキンキュウオンリツ</t>
    </rPh>
    <rPh sb="2" eb="5">
      <t>リツ</t>
    </rPh>
    <phoneticPr fontId="3"/>
  </si>
  <si>
    <t>セービン</t>
    <phoneticPr fontId="3"/>
  </si>
  <si>
    <t>T</t>
  </si>
  <si>
    <t>秒</t>
    <rPh sb="0" eb="1">
      <t>ビョウ</t>
    </rPh>
    <phoneticPr fontId="2"/>
  </si>
  <si>
    <t>（式）</t>
    <rPh sb="1" eb="2">
      <t>シキ</t>
    </rPh>
    <phoneticPr fontId="2"/>
  </si>
  <si>
    <t>天井α</t>
    <rPh sb="0" eb="2">
      <t>テンジョウ</t>
    </rPh>
    <phoneticPr fontId="2"/>
  </si>
  <si>
    <t>床α</t>
    <rPh sb="0" eb="1">
      <t>ユカ</t>
    </rPh>
    <phoneticPr fontId="2"/>
  </si>
  <si>
    <t>手前壁α</t>
    <rPh sb="0" eb="3">
      <t>テマエカベ</t>
    </rPh>
    <phoneticPr fontId="2"/>
  </si>
  <si>
    <t>奥壁α</t>
    <rPh sb="0" eb="2">
      <t>オクカベ</t>
    </rPh>
    <phoneticPr fontId="2"/>
  </si>
  <si>
    <t>側壁α</t>
    <rPh sb="0" eb="2">
      <t>ソクヘキ</t>
    </rPh>
    <phoneticPr fontId="2"/>
  </si>
  <si>
    <t>人数</t>
    <rPh sb="0" eb="2">
      <t>ニンズウ</t>
    </rPh>
    <phoneticPr fontId="2"/>
  </si>
  <si>
    <t>一人の吸音力</t>
    <rPh sb="0" eb="1">
      <t>イチ</t>
    </rPh>
    <rPh sb="1" eb="2">
      <t>ヒト</t>
    </rPh>
    <rPh sb="3" eb="6">
      <t>キュウオンリョク</t>
    </rPh>
    <phoneticPr fontId="2"/>
  </si>
  <si>
    <t>人の吸音力</t>
    <rPh sb="0" eb="1">
      <t>ヒト</t>
    </rPh>
    <rPh sb="2" eb="4">
      <t>キュウオン</t>
    </rPh>
    <rPh sb="4" eb="5">
      <t>リョク</t>
    </rPh>
    <phoneticPr fontId="2"/>
  </si>
  <si>
    <t>↓ここに値を入力します</t>
    <rPh sb="4" eb="5">
      <t>アタイ</t>
    </rPh>
    <rPh sb="6" eb="8">
      <t>ニュウリョク</t>
    </rPh>
    <phoneticPr fontId="2"/>
  </si>
  <si>
    <t>幅</t>
    <rPh sb="0" eb="1">
      <t>ハバ</t>
    </rPh>
    <phoneticPr fontId="2"/>
  </si>
  <si>
    <t>奥行き</t>
    <rPh sb="0" eb="2">
      <t>オクユ</t>
    </rPh>
    <phoneticPr fontId="2"/>
  </si>
  <si>
    <t>高さ</t>
    <rPh sb="0" eb="1">
      <t>タカ</t>
    </rPh>
    <phoneticPr fontId="2"/>
  </si>
  <si>
    <t>■計算用</t>
    <rPh sb="1" eb="4">
      <t>ケイサンヨウ</t>
    </rPh>
    <phoneticPr fontId="3"/>
  </si>
  <si>
    <t>ドア隙間（5mmで四周と仮定）</t>
    <rPh sb="2" eb="4">
      <t>スキマ</t>
    </rPh>
    <rPh sb="9" eb="10">
      <t>ヨン</t>
    </rPh>
    <rPh sb="10" eb="11">
      <t>シュウ</t>
    </rPh>
    <rPh sb="12" eb="14">
      <t>カテイ</t>
    </rPh>
    <phoneticPr fontId="3"/>
  </si>
  <si>
    <t>窓半分開放</t>
    <rPh sb="0" eb="5">
      <t>マドカイホウ</t>
    </rPh>
    <phoneticPr fontId="3"/>
  </si>
  <si>
    <t>開放部分の透過損失</t>
    <rPh sb="0" eb="2">
      <t>カイホウ</t>
    </rPh>
    <rPh sb="2" eb="4">
      <t>ブブン</t>
    </rPh>
    <rPh sb="5" eb="9">
      <t>トウカソンシツ</t>
    </rPh>
    <phoneticPr fontId="3"/>
  </si>
  <si>
    <t>下図に示すように、式が入っているセルをクリックして、数式を数式バーに表示し、セルの参照表示（RC[-5]といったもの）の部分をクリックすると、どこのセルが関わっているかがわかります。</t>
    <rPh sb="0" eb="2">
      <t>カズ</t>
    </rPh>
    <rPh sb="3" eb="4">
      <t>シメ</t>
    </rPh>
    <rPh sb="9" eb="10">
      <t>シキ</t>
    </rPh>
    <rPh sb="11" eb="12">
      <t>ハイ</t>
    </rPh>
    <rPh sb="26" eb="28">
      <t>スウシキ</t>
    </rPh>
    <rPh sb="29" eb="31">
      <t>スウシキ</t>
    </rPh>
    <rPh sb="34" eb="36">
      <t>ヒョウジ</t>
    </rPh>
    <rPh sb="41" eb="43">
      <t>サンショウ</t>
    </rPh>
    <rPh sb="43" eb="45">
      <t>ヒョウジ</t>
    </rPh>
    <rPh sb="60" eb="62">
      <t>ブブン</t>
    </rPh>
    <rPh sb="77" eb="78">
      <t>カカ</t>
    </rPh>
    <phoneticPr fontId="2"/>
  </si>
  <si>
    <t>それを手掛かりにして、式の意味を考えてください。</t>
    <rPh sb="3" eb="5">
      <t>テガ</t>
    </rPh>
    <rPh sb="11" eb="12">
      <t>シキ</t>
    </rPh>
    <rPh sb="13" eb="15">
      <t>イミ</t>
    </rPh>
    <rPh sb="16" eb="17">
      <t>カンガ</t>
    </rPh>
    <phoneticPr fontId="2"/>
  </si>
  <si>
    <t>下記の場合、壁面全体の表面積÷（ドア部分を除いた壁の透過損失＋ドアの表面積×ドア部分の透過損失＋ドア隙間×隙間の透過損失）の対数を取っていることを表しています。</t>
    <rPh sb="0" eb="2">
      <t>カキ</t>
    </rPh>
    <rPh sb="3" eb="5">
      <t>バアイ</t>
    </rPh>
    <rPh sb="6" eb="7">
      <t>カベ</t>
    </rPh>
    <rPh sb="7" eb="8">
      <t>メン</t>
    </rPh>
    <rPh sb="8" eb="10">
      <t>ゼンタイ</t>
    </rPh>
    <rPh sb="11" eb="14">
      <t>ヒョウメンセキ</t>
    </rPh>
    <rPh sb="18" eb="20">
      <t>ブブン</t>
    </rPh>
    <rPh sb="21" eb="22">
      <t>ノゾ</t>
    </rPh>
    <rPh sb="24" eb="25">
      <t>カベ</t>
    </rPh>
    <rPh sb="26" eb="30">
      <t>トウカソンシツ</t>
    </rPh>
    <rPh sb="34" eb="37">
      <t>ヒョウメンセキ</t>
    </rPh>
    <rPh sb="40" eb="42">
      <t>ブブン</t>
    </rPh>
    <rPh sb="43" eb="47">
      <t>トウカソンシツ</t>
    </rPh>
    <rPh sb="50" eb="52">
      <t>スキマ</t>
    </rPh>
    <rPh sb="53" eb="55">
      <t>スキマ</t>
    </rPh>
    <rPh sb="56" eb="60">
      <t>トウカソンシツ</t>
    </rPh>
    <rPh sb="62" eb="64">
      <t>タイスウ</t>
    </rPh>
    <rPh sb="65" eb="66">
      <t>ト</t>
    </rPh>
    <rPh sb="73" eb="74">
      <t>アラワ</t>
    </rPh>
    <phoneticPr fontId="2"/>
  </si>
  <si>
    <t>窓あり</t>
    <rPh sb="0" eb="1">
      <t>マド</t>
    </rPh>
    <phoneticPr fontId="3"/>
  </si>
  <si>
    <t>（１）以下の室間音圧レベル差測定結果から、遮音等級を判定せよ。</t>
  </si>
  <si>
    <t>　125Hz</t>
  </si>
  <si>
    <t>30dB</t>
  </si>
  <si>
    <t>　250Hz</t>
  </si>
  <si>
    <t>35dB</t>
  </si>
  <si>
    <t>　500Hz</t>
  </si>
  <si>
    <t>40dB</t>
  </si>
  <si>
    <t>　1,000Hz</t>
  </si>
  <si>
    <t>　2,000Hz</t>
  </si>
  <si>
    <t>50dB</t>
  </si>
  <si>
    <t>（１）以下の床衝撃音計測値から、L値を判定せよ。</t>
  </si>
  <si>
    <t>60dB</t>
  </si>
  <si>
    <t xml:space="preserve">　250Hz </t>
  </si>
  <si>
    <t>55dB</t>
  </si>
  <si>
    <t>45dB</t>
  </si>
  <si>
    <t>■遮音等級（Ｄ値）</t>
    <phoneticPr fontId="2"/>
  </si>
  <si>
    <t>■床衝撃音の遮音等級（Ｌ値）</t>
    <phoneticPr fontId="2"/>
  </si>
  <si>
    <t>計測値</t>
    <rPh sb="0" eb="3">
      <t>ケイソクチ</t>
    </rPh>
    <phoneticPr fontId="2"/>
  </si>
  <si>
    <t>D-</t>
    <phoneticPr fontId="2"/>
  </si>
  <si>
    <t>L-</t>
    <phoneticPr fontId="2"/>
  </si>
  <si>
    <t>↓ここに値を入力すると平均吸音率を計算します</t>
    <rPh sb="4" eb="5">
      <t>アタイ</t>
    </rPh>
    <rPh sb="6" eb="8">
      <t>ニュウリョク</t>
    </rPh>
    <rPh sb="11" eb="16">
      <t>ヘイキンキュウオンリツ</t>
    </rPh>
    <rPh sb="17" eb="19">
      <t>ケイサン</t>
    </rPh>
    <phoneticPr fontId="2"/>
  </si>
  <si>
    <t>→</t>
    <phoneticPr fontId="2"/>
  </si>
  <si>
    <t>このExcelファイルには、数式がたくさん埋め込まれています。</t>
    <rPh sb="14" eb="16">
      <t>スウシキ</t>
    </rPh>
    <rPh sb="21" eb="22">
      <t>ウ</t>
    </rPh>
    <rPh sb="23" eb="24">
      <t>コ</t>
    </rPh>
    <phoneticPr fontId="2"/>
  </si>
  <si>
    <t>建築環境工学には、指数や対数が出てくることがよくあります。</t>
    <rPh sb="0" eb="6">
      <t>ケンチクカンキョウ</t>
    </rPh>
    <rPh sb="9" eb="11">
      <t>シスウ</t>
    </rPh>
    <rPh sb="12" eb="14">
      <t>タイスウ</t>
    </rPh>
    <rPh sb="15" eb="16">
      <t>デ</t>
    </rPh>
    <phoneticPr fontId="2"/>
  </si>
  <si>
    <t>そういったものは、手計算では手に余ることが多いので、Excelの力を借りて理解を深めようというのです。</t>
    <rPh sb="9" eb="12">
      <t>テケイサン</t>
    </rPh>
    <rPh sb="14" eb="15">
      <t>テ</t>
    </rPh>
    <rPh sb="16" eb="17">
      <t>アマ</t>
    </rPh>
    <rPh sb="21" eb="22">
      <t>オオ</t>
    </rPh>
    <rPh sb="32" eb="33">
      <t>チカラ</t>
    </rPh>
    <rPh sb="34" eb="35">
      <t>カ</t>
    </rPh>
    <rPh sb="37" eb="39">
      <t>リカイ</t>
    </rPh>
    <rPh sb="40" eb="41">
      <t>フカ</t>
    </rPh>
    <phoneticPr fontId="2"/>
  </si>
  <si>
    <t>活用してください。</t>
    <rPh sb="0" eb="2">
      <t>カツヨウ</t>
    </rPh>
    <phoneticPr fontId="2"/>
  </si>
  <si>
    <t>Excelの一つ一つのマスを「セル」と呼びます。</t>
    <rPh sb="6" eb="7">
      <t>ヒト</t>
    </rPh>
    <rPh sb="8" eb="9">
      <t>ヒト</t>
    </rPh>
    <rPh sb="19" eb="20">
      <t>ヨ</t>
    </rPh>
    <phoneticPr fontId="2"/>
  </si>
  <si>
    <t>どこかのセルを選んでみてください。</t>
    <rPh sb="7" eb="8">
      <t>エラ</t>
    </rPh>
    <phoneticPr fontId="2"/>
  </si>
  <si>
    <t>数値や文字が入っている場合もありますが、数式が入っているところがあります。</t>
    <rPh sb="0" eb="2">
      <t>スウチ</t>
    </rPh>
    <rPh sb="3" eb="5">
      <t>モジ</t>
    </rPh>
    <rPh sb="6" eb="7">
      <t>ハイ</t>
    </rPh>
    <rPh sb="11" eb="13">
      <t>バアイ</t>
    </rPh>
    <rPh sb="20" eb="22">
      <t>スウシキ</t>
    </rPh>
    <rPh sb="23" eb="24">
      <t>ハイ</t>
    </rPh>
    <phoneticPr fontId="2"/>
  </si>
  <si>
    <t>×</t>
    <phoneticPr fontId="2"/>
  </si>
  <si>
    <t>↑このセルには「12」と表示されていますが、入っているのは「=RC[2]*RC[4]」という式です。</t>
    <rPh sb="12" eb="14">
      <t>ヒョウジ</t>
    </rPh>
    <rPh sb="22" eb="23">
      <t>ハイ</t>
    </rPh>
    <rPh sb="46" eb="47">
      <t>シキ</t>
    </rPh>
    <phoneticPr fontId="2"/>
  </si>
  <si>
    <t>※RはRawの略で行という意味、CはColumnの略で列という意味です。</t>
    <rPh sb="7" eb="8">
      <t>リャク</t>
    </rPh>
    <rPh sb="9" eb="10">
      <t>ギョウ</t>
    </rPh>
    <rPh sb="13" eb="15">
      <t>イミ</t>
    </rPh>
    <rPh sb="25" eb="26">
      <t>リャク</t>
    </rPh>
    <rPh sb="27" eb="28">
      <t>レツ</t>
    </rPh>
    <rPh sb="31" eb="33">
      <t>イミ</t>
    </rPh>
    <phoneticPr fontId="2"/>
  </si>
  <si>
    <t>■このファイルを作った訳</t>
    <rPh sb="8" eb="9">
      <t>ツク</t>
    </rPh>
    <rPh sb="11" eb="12">
      <t>ワケ</t>
    </rPh>
    <phoneticPr fontId="2"/>
  </si>
  <si>
    <t>■Excel数式表現の基礎知識</t>
    <rPh sb="6" eb="10">
      <t>スウシキヒョウゲン</t>
    </rPh>
    <rPh sb="11" eb="15">
      <t>キソチシキ</t>
    </rPh>
    <phoneticPr fontId="2"/>
  </si>
  <si>
    <t>右図のように、数式バーの表示色が変わって、どのセルの値を参照しているかがわかります。</t>
    <rPh sb="0" eb="2">
      <t>ウズ</t>
    </rPh>
    <rPh sb="7" eb="9">
      <t>スウシキ</t>
    </rPh>
    <rPh sb="12" eb="15">
      <t>ヒョウジショク</t>
    </rPh>
    <rPh sb="16" eb="17">
      <t>カ</t>
    </rPh>
    <rPh sb="26" eb="27">
      <t>アタイ</t>
    </rPh>
    <rPh sb="28" eb="30">
      <t>サンショウ</t>
    </rPh>
    <phoneticPr fontId="2"/>
  </si>
  <si>
    <t>＜参照セル説明＞</t>
    <rPh sb="1" eb="3">
      <t>サンショウ</t>
    </rPh>
    <rPh sb="5" eb="7">
      <t>セツメイ</t>
    </rPh>
    <phoneticPr fontId="2"/>
  </si>
  <si>
    <t>＜四則演算等の記号の説明＞</t>
    <rPh sb="1" eb="6">
      <t>シソクエンザントウ</t>
    </rPh>
    <rPh sb="7" eb="9">
      <t>キゴウ</t>
    </rPh>
    <rPh sb="10" eb="12">
      <t>セツメイ</t>
    </rPh>
    <phoneticPr fontId="2"/>
  </si>
  <si>
    <t>Excelでは、以下のような記号を使います。</t>
    <rPh sb="8" eb="10">
      <t>イカ</t>
    </rPh>
    <rPh sb="14" eb="16">
      <t>キゴウ</t>
    </rPh>
    <rPh sb="17" eb="18">
      <t>ツカ</t>
    </rPh>
    <phoneticPr fontId="2"/>
  </si>
  <si>
    <t>累乗</t>
    <rPh sb="0" eb="2">
      <t>ルイジョウ</t>
    </rPh>
    <phoneticPr fontId="2"/>
  </si>
  <si>
    <t>対数</t>
    <rPh sb="0" eb="2">
      <t>タイスウ</t>
    </rPh>
    <phoneticPr fontId="2"/>
  </si>
  <si>
    <t>加算</t>
    <rPh sb="0" eb="2">
      <t>カサン</t>
    </rPh>
    <phoneticPr fontId="2"/>
  </si>
  <si>
    <t>減算</t>
    <rPh sb="0" eb="2">
      <t>ゲンサン</t>
    </rPh>
    <phoneticPr fontId="2"/>
  </si>
  <si>
    <t>乗算</t>
    <rPh sb="0" eb="2">
      <t>ジョウサン</t>
    </rPh>
    <phoneticPr fontId="2"/>
  </si>
  <si>
    <t>除算</t>
    <rPh sb="0" eb="2">
      <t>ジョサン</t>
    </rPh>
    <phoneticPr fontId="2"/>
  </si>
  <si>
    <t>+</t>
    <phoneticPr fontId="2"/>
  </si>
  <si>
    <t>*</t>
    <phoneticPr fontId="2"/>
  </si>
  <si>
    <t>＜関数の説明＞</t>
    <rPh sb="1" eb="3">
      <t>カンスウ</t>
    </rPh>
    <rPh sb="4" eb="6">
      <t>セツメイ</t>
    </rPh>
    <phoneticPr fontId="2"/>
  </si>
  <si>
    <t>テキストに掲載されている数式と見比べながら、理解してください。</t>
    <rPh sb="5" eb="7">
      <t>ケイサイ</t>
    </rPh>
    <rPh sb="12" eb="14">
      <t>スウシキ</t>
    </rPh>
    <rPh sb="15" eb="17">
      <t>ミクラ</t>
    </rPh>
    <rPh sb="22" eb="24">
      <t>リカイ</t>
    </rPh>
    <phoneticPr fontId="2"/>
  </si>
  <si>
    <t>もっとも、実際に数値を入れることで、値がどんな風に変化するのか掴むことも大事です。</t>
    <rPh sb="5" eb="7">
      <t>ジッサイ</t>
    </rPh>
    <rPh sb="8" eb="10">
      <t>スウチ</t>
    </rPh>
    <rPh sb="11" eb="12">
      <t>イ</t>
    </rPh>
    <rPh sb="18" eb="19">
      <t>アタイ</t>
    </rPh>
    <rPh sb="23" eb="24">
      <t>フウ</t>
    </rPh>
    <rPh sb="25" eb="27">
      <t>ヘンカ</t>
    </rPh>
    <rPh sb="31" eb="32">
      <t>ツカ</t>
    </rPh>
    <rPh sb="36" eb="38">
      <t>ダイジ</t>
    </rPh>
    <phoneticPr fontId="2"/>
  </si>
  <si>
    <t>そちらを優先する人達もいるかもしれませんね。</t>
    <rPh sb="4" eb="6">
      <t>ユウセン</t>
    </rPh>
    <rPh sb="8" eb="10">
      <t>ヒトタチ</t>
    </rPh>
    <phoneticPr fontId="2"/>
  </si>
  <si>
    <t>説明は以上です。</t>
    <rPh sb="0" eb="2">
      <t>セツメイ</t>
    </rPh>
    <rPh sb="3" eb="5">
      <t>イジョウ</t>
    </rPh>
    <phoneticPr fontId="2"/>
  </si>
  <si>
    <t>=</t>
    <phoneticPr fontId="2"/>
  </si>
  <si>
    <t>触ってみてください。中身が数式バーに表示されます。（右図のように表示されます）</t>
    <rPh sb="0" eb="1">
      <t>サワ</t>
    </rPh>
    <rPh sb="10" eb="12">
      <t>ナカミ</t>
    </rPh>
    <rPh sb="13" eb="15">
      <t>スウシキ</t>
    </rPh>
    <rPh sb="18" eb="20">
      <t>ヒョウジ</t>
    </rPh>
    <rPh sb="26" eb="28">
      <t>ミギズ</t>
    </rPh>
    <rPh sb="32" eb="34">
      <t>ヒョウジ</t>
    </rPh>
    <phoneticPr fontId="2"/>
  </si>
  <si>
    <t>※表示方法によっては、「D13*F13」の場合もあります。</t>
    <rPh sb="1" eb="5">
      <t>ヒョウジホウホウ</t>
    </rPh>
    <rPh sb="21" eb="23">
      <t>バアイ</t>
    </rPh>
    <phoneticPr fontId="2"/>
  </si>
  <si>
    <t>この説明の末尾にある&lt;注意&gt;を参照してください。</t>
    <rPh sb="2" eb="4">
      <t>セツメイ</t>
    </rPh>
    <rPh sb="5" eb="7">
      <t>マツビ</t>
    </rPh>
    <rPh sb="11" eb="13">
      <t>チュウイ</t>
    </rPh>
    <rPh sb="15" eb="17">
      <t>サンショウ</t>
    </rPh>
    <phoneticPr fontId="2"/>
  </si>
  <si>
    <t>数式バーに表示された「=RC[2]*RC[4]」を触ってみてください。</t>
    <rPh sb="0" eb="2">
      <t>スウシキ</t>
    </rPh>
    <rPh sb="5" eb="7">
      <t>ヒョウジ</t>
    </rPh>
    <rPh sb="25" eb="26">
      <t>サワ</t>
    </rPh>
    <phoneticPr fontId="2"/>
  </si>
  <si>
    <r>
      <t>「</t>
    </r>
    <r>
      <rPr>
        <sz val="12"/>
        <color indexed="39"/>
        <rFont val="Osaka"/>
        <charset val="128"/>
      </rPr>
      <t>RC[2]</t>
    </r>
    <r>
      <rPr>
        <sz val="12"/>
        <color indexed="18"/>
        <rFont val="Osaka"/>
        <charset val="128"/>
      </rPr>
      <t>」は、数式が入っている行の、数式が入っているセルから2列</t>
    </r>
    <r>
      <rPr>
        <sz val="12"/>
        <color indexed="18"/>
        <rFont val="Osaka"/>
        <charset val="128"/>
      </rPr>
      <t>右にある</t>
    </r>
    <r>
      <rPr>
        <sz val="12"/>
        <color indexed="18"/>
        <rFont val="Osaka"/>
        <charset val="128"/>
      </rPr>
      <t>セルという意味です。</t>
    </r>
    <rPh sb="9" eb="11">
      <t>スウシキ</t>
    </rPh>
    <rPh sb="12" eb="13">
      <t>ハイ</t>
    </rPh>
    <rPh sb="17" eb="18">
      <t>ギョウ</t>
    </rPh>
    <rPh sb="20" eb="22">
      <t>スウシキ</t>
    </rPh>
    <rPh sb="23" eb="24">
      <t>ハイ</t>
    </rPh>
    <rPh sb="33" eb="34">
      <t>レツ</t>
    </rPh>
    <rPh sb="34" eb="35">
      <t>ミギ</t>
    </rPh>
    <rPh sb="43" eb="45">
      <t>イミ</t>
    </rPh>
    <phoneticPr fontId="2"/>
  </si>
  <si>
    <r>
      <t>「</t>
    </r>
    <r>
      <rPr>
        <sz val="12"/>
        <color indexed="17"/>
        <rFont val="Osaka"/>
        <charset val="128"/>
      </rPr>
      <t>RC[4]</t>
    </r>
    <r>
      <rPr>
        <sz val="12"/>
        <color indexed="18"/>
        <rFont val="Osaka"/>
        <charset val="128"/>
      </rPr>
      <t>」は、数式が入っている行の、数式が入っているセルから4列</t>
    </r>
    <r>
      <rPr>
        <sz val="12"/>
        <color indexed="18"/>
        <rFont val="Osaka"/>
        <charset val="128"/>
      </rPr>
      <t>右側にある</t>
    </r>
    <r>
      <rPr>
        <sz val="12"/>
        <color indexed="18"/>
        <rFont val="Osaka"/>
        <charset val="128"/>
      </rPr>
      <t>セルという意味です。</t>
    </r>
    <rPh sb="9" eb="11">
      <t>スウシキ</t>
    </rPh>
    <rPh sb="12" eb="13">
      <t>ハイ</t>
    </rPh>
    <rPh sb="17" eb="18">
      <t>ギョウ</t>
    </rPh>
    <rPh sb="20" eb="22">
      <t>スウシキ</t>
    </rPh>
    <rPh sb="23" eb="24">
      <t>ハイ</t>
    </rPh>
    <rPh sb="33" eb="34">
      <t>レツ</t>
    </rPh>
    <rPh sb="34" eb="36">
      <t>ミギガワ</t>
    </rPh>
    <rPh sb="44" eb="46">
      <t>イミ</t>
    </rPh>
    <phoneticPr fontId="2"/>
  </si>
  <si>
    <t>※RC[2]は、本当はR[0]C[2]と書くべきところ、[0]が省略されて表記されています。</t>
    <rPh sb="8" eb="10">
      <t>ホントウ</t>
    </rPh>
    <rPh sb="20" eb="21">
      <t>カ</t>
    </rPh>
    <rPh sb="32" eb="34">
      <t>ショウリャク</t>
    </rPh>
    <rPh sb="37" eb="39">
      <t>ヒョウキ</t>
    </rPh>
    <phoneticPr fontId="2"/>
  </si>
  <si>
    <t>↓クリックしてみてください</t>
    <phoneticPr fontId="2"/>
  </si>
  <si>
    <t>＋</t>
    <phoneticPr fontId="2"/>
  </si>
  <si>
    <t>−</t>
    <phoneticPr fontId="2"/>
  </si>
  <si>
    <t>→</t>
    <phoneticPr fontId="2"/>
  </si>
  <si>
    <t>-</t>
    <phoneticPr fontId="2"/>
  </si>
  <si>
    <t>×</t>
    <phoneticPr fontId="2"/>
  </si>
  <si>
    <t>÷</t>
    <phoneticPr fontId="2"/>
  </si>
  <si>
    <t>/</t>
    <phoneticPr fontId="2"/>
  </si>
  <si>
    <t>^</t>
    <phoneticPr fontId="2"/>
  </si>
  <si>
    <t>↓クリックしてみてください</t>
    <phoneticPr fontId="2"/>
  </si>
  <si>
    <r>
      <t>log</t>
    </r>
    <r>
      <rPr>
        <vertAlign val="subscript"/>
        <sz val="12"/>
        <color indexed="18"/>
        <rFont val="Osaka"/>
        <charset val="128"/>
      </rPr>
      <t>e</t>
    </r>
    <phoneticPr fontId="2"/>
  </si>
  <si>
    <t>→</t>
    <phoneticPr fontId="2"/>
  </si>
  <si>
    <t>LN()</t>
    <phoneticPr fontId="2"/>
  </si>
  <si>
    <r>
      <t>log</t>
    </r>
    <r>
      <rPr>
        <vertAlign val="subscript"/>
        <sz val="12"/>
        <color indexed="18"/>
        <rFont val="Osaka"/>
        <charset val="128"/>
      </rPr>
      <t>10</t>
    </r>
    <phoneticPr fontId="2"/>
  </si>
  <si>
    <t>log10()</t>
    <phoneticPr fontId="2"/>
  </si>
  <si>
    <t>以上のことを頭に入れると、セルに書かれている数式を理解できるようになると思います。</t>
    <rPh sb="0" eb="2">
      <t>イジョウ</t>
    </rPh>
    <rPh sb="6" eb="7">
      <t>アタマ</t>
    </rPh>
    <rPh sb="8" eb="9">
      <t>イ</t>
    </rPh>
    <rPh sb="16" eb="17">
      <t>カ</t>
    </rPh>
    <rPh sb="22" eb="24">
      <t>スウシキ</t>
    </rPh>
    <rPh sb="25" eb="27">
      <t>リカイ</t>
    </rPh>
    <rPh sb="36" eb="37">
      <t>オモ</t>
    </rPh>
    <phoneticPr fontId="2"/>
  </si>
  <si>
    <t>&lt;注意&gt;</t>
    <rPh sb="1" eb="3">
      <t>チュウイ</t>
    </rPh>
    <phoneticPr fontId="2"/>
  </si>
  <si>
    <t>このファイルはMac版のExcelで作成しています。</t>
    <rPh sb="10" eb="11">
      <t>バン</t>
    </rPh>
    <rPh sb="18" eb="20">
      <t>サクセイ</t>
    </rPh>
    <phoneticPr fontId="2"/>
  </si>
  <si>
    <t>Windowsで見ると、セルの表記が「D13*F13」のように変化しているかもしれません。</t>
    <rPh sb="8" eb="9">
      <t>ミ</t>
    </rPh>
    <rPh sb="15" eb="17">
      <t>ヒョウキ</t>
    </rPh>
    <rPh sb="31" eb="33">
      <t>ヘンカ</t>
    </rPh>
    <phoneticPr fontId="2"/>
  </si>
  <si>
    <t>Macであっても、設定によっては（「環境設定」→「全般」→「R1C1参照形式を使用する」にチェックが入っていない場合）同様に表示されます。</t>
    <rPh sb="9" eb="11">
      <t>セッテイ</t>
    </rPh>
    <rPh sb="59" eb="61">
      <t>ドウヨウ</t>
    </rPh>
    <rPh sb="62" eb="64">
      <t>ヒョウジ</t>
    </rPh>
    <phoneticPr fontId="2"/>
  </si>
  <si>
    <t>その場合も、参照セルの列番号をアルファベットで、行番号を数字で表しているだけで、基本的な考え方は変わりません。</t>
    <rPh sb="2" eb="4">
      <t>バアイ</t>
    </rPh>
    <rPh sb="6" eb="8">
      <t>サンショウ</t>
    </rPh>
    <rPh sb="24" eb="25">
      <t>ギョウ</t>
    </rPh>
    <rPh sb="25" eb="27">
      <t>バンゴウ</t>
    </rPh>
    <rPh sb="28" eb="30">
      <t>スウジ</t>
    </rPh>
    <rPh sb="31" eb="32">
      <t>アラワ</t>
    </rPh>
    <rPh sb="40" eb="43">
      <t>キホンテキ</t>
    </rPh>
    <rPh sb="44" eb="45">
      <t>カンガ</t>
    </rPh>
    <rPh sb="46" eb="47">
      <t>カタ</t>
    </rPh>
    <rPh sb="48" eb="49">
      <t>カ</t>
    </rPh>
    <phoneticPr fontId="2"/>
  </si>
  <si>
    <t>↓この部分は自動計算します</t>
    <rPh sb="3" eb="5">
      <t>ブブン</t>
    </rPh>
    <rPh sb="6" eb="8">
      <t>ジドウケンサン</t>
    </rPh>
    <rPh sb="8" eb="10">
      <t>ケイサン</t>
    </rPh>
    <phoneticPr fontId="2"/>
  </si>
  <si>
    <t>単位：m</t>
    <rPh sb="0" eb="2">
      <t>タンイ</t>
    </rPh>
    <phoneticPr fontId="2"/>
  </si>
  <si>
    <t>音の減衰係数</t>
    <rPh sb="0" eb="1">
      <t>オト</t>
    </rPh>
    <rPh sb="2" eb="6">
      <t>ゲンスイケイスウ</t>
    </rPh>
    <phoneticPr fontId="2"/>
  </si>
  <si>
    <t>室内総表面積</t>
    <rPh sb="0" eb="2">
      <t>シツナイ</t>
    </rPh>
    <rPh sb="2" eb="6">
      <t>ソウヒョウメンセキ</t>
    </rPh>
    <phoneticPr fontId="2"/>
  </si>
  <si>
    <t>（１）セービン式を使用して、下の部屋の残響時間を求めよ。</t>
    <rPh sb="7" eb="9">
      <t>シキヲ뀀䊀習</t>
    </rPh>
    <rPh sb="9" eb="11">
      <t>シヨウ</t>
    </rPh>
    <rPh sb="14" eb="15">
      <t>シタ</t>
    </rPh>
    <rPh sb="16" eb="18">
      <t>ヘヤ</t>
    </rPh>
    <rPh sb="19" eb="23">
      <t>ザンキョウジカン</t>
    </rPh>
    <rPh sb="24" eb="25">
      <t>モト</t>
    </rPh>
    <phoneticPr fontId="2"/>
  </si>
  <si>
    <r>
      <t>単位：m</t>
    </r>
    <r>
      <rPr>
        <vertAlign val="superscript"/>
        <sz val="12"/>
        <color theme="3" tint="0.39997558519241921"/>
        <rFont val="Osaka"/>
        <charset val="128"/>
      </rPr>
      <t>2</t>
    </r>
    <rPh sb="0" eb="2">
      <t>タンイ</t>
    </rPh>
    <phoneticPr fontId="2"/>
  </si>
  <si>
    <r>
      <t>単位：m</t>
    </r>
    <r>
      <rPr>
        <vertAlign val="superscript"/>
        <sz val="12"/>
        <color theme="3" tint="0.39997558519241921"/>
        <rFont val="Osaka"/>
        <charset val="128"/>
      </rPr>
      <t>3</t>
    </r>
    <rPh sb="0" eb="2">
      <t>タンイ</t>
    </rPh>
    <phoneticPr fontId="2"/>
  </si>
  <si>
    <t>（２）50名座ったと仮定し、残響時間の変化を求めよ。</t>
    <rPh sb="5" eb="7">
      <t>メイスワ</t>
    </rPh>
    <rPh sb="10" eb="12">
      <t>カテイ</t>
    </rPh>
    <rPh sb="14" eb="18">
      <t>ザンキョウジカン</t>
    </rPh>
    <rPh sb="19" eb="21">
      <t>ヘンカ</t>
    </rPh>
    <rPh sb="22" eb="23">
      <t>モト</t>
    </rPh>
    <phoneticPr fontId="2"/>
  </si>
  <si>
    <t>50dBと59dBの音を合成すると、何dBになるか</t>
    <phoneticPr fontId="2"/>
  </si>
  <si>
    <t>↓測定値を下回るラインのD値（数値のみ記入）</t>
    <rPh sb="1" eb="4">
      <t>ソクテイチ</t>
    </rPh>
    <rPh sb="5" eb="7">
      <t>シタマワ</t>
    </rPh>
    <rPh sb="13" eb="14">
      <t>アタイ</t>
    </rPh>
    <rPh sb="15" eb="17">
      <t>スウチ</t>
    </rPh>
    <rPh sb="19" eb="21">
      <t>キニュウ</t>
    </rPh>
    <phoneticPr fontId="2"/>
  </si>
  <si>
    <t>↓測定値を上回るラインのL値（数値のみ記入）</t>
    <rPh sb="1" eb="4">
      <t>ソクテイチ</t>
    </rPh>
    <rPh sb="5" eb="7">
      <t>ウワマワ</t>
    </rPh>
    <rPh sb="13" eb="14">
      <t>アタイ</t>
    </rPh>
    <rPh sb="15" eb="17">
      <t>スウチ</t>
    </rPh>
    <rPh sb="19" eb="21">
      <t>キニュウ</t>
    </rPh>
    <phoneticPr fontId="2"/>
  </si>
  <si>
    <t>■室壁の総合透過損失</t>
    <rPh sb="1" eb="3">
      <t>シツヘキ</t>
    </rPh>
    <rPh sb="4" eb="10">
      <t>ソウゴウトウカソンシツ</t>
    </rPh>
    <phoneticPr fontId="2"/>
  </si>
  <si>
    <t>※変化としては、</t>
    <rPh sb="1" eb="3">
      <t>ヘンカ</t>
    </rPh>
    <phoneticPr fontId="2"/>
  </si>
  <si>
    <t>↑ピタゴラスの定理を用いている</t>
    <rPh sb="7" eb="9">
      <t>テイリ</t>
    </rPh>
    <rPh sb="10" eb="11">
      <t>モチ</t>
    </rPh>
    <phoneticPr fontId="2"/>
  </si>
  <si>
    <t>※双曲線関数</t>
    <rPh sb="1" eb="4">
      <t>ソウキョクセン</t>
    </rPh>
    <rPh sb="4" eb="6">
      <t>サンカクカンスウカイセツ</t>
    </rPh>
    <phoneticPr fontId="2"/>
  </si>
  <si>
    <r>
      <t>N</t>
    </r>
    <r>
      <rPr>
        <vertAlign val="superscript"/>
        <sz val="8"/>
        <rFont val="Osaka"/>
        <charset val="128"/>
      </rPr>
      <t>0.485</t>
    </r>
    <phoneticPr fontId="3"/>
  </si>
  <si>
    <t>←B</t>
    <phoneticPr fontId="2"/>
  </si>
  <si>
    <t>←A</t>
    <phoneticPr fontId="2"/>
  </si>
  <si>
    <t>←C</t>
    <phoneticPr fontId="2"/>
  </si>
  <si>
    <t>解説「８」</t>
    <rPh sb="0" eb="2">
      <t>カイセツ</t>
    </rPh>
    <phoneticPr fontId="3"/>
  </si>
  <si>
    <t>　お詫びします。</t>
    <rPh sb="2" eb="3">
      <t>ワ</t>
    </rPh>
    <phoneticPr fontId="2"/>
  </si>
  <si>
    <t>※「図２１音の合成」を参照して求めても、同様の結果が得られるはずです</t>
    <rPh sb="2" eb="3">
      <t>ズ</t>
    </rPh>
    <rPh sb="5" eb="6">
      <t>オト</t>
    </rPh>
    <rPh sb="7" eb="9">
      <t>ゴウセイ</t>
    </rPh>
    <rPh sb="11" eb="13">
      <t>サンショウ</t>
    </rPh>
    <rPh sb="15" eb="16">
      <t>モト</t>
    </rPh>
    <rPh sb="20" eb="22">
      <t>ドウヨウ</t>
    </rPh>
    <rPh sb="23" eb="25">
      <t>ケッカ</t>
    </rPh>
    <rPh sb="26" eb="27">
      <t>エ</t>
    </rPh>
    <phoneticPr fontId="2"/>
  </si>
  <si>
    <t>※図を使用して解いた場合、計算と同じ結果にならないと感じられることがあると思います。</t>
    <rPh sb="1" eb="2">
      <t>ズ</t>
    </rPh>
    <rPh sb="3" eb="5">
      <t>シヨウ</t>
    </rPh>
    <rPh sb="7" eb="8">
      <t>ト</t>
    </rPh>
    <rPh sb="10" eb="12">
      <t>バアイ</t>
    </rPh>
    <rPh sb="13" eb="15">
      <t>ケイサン</t>
    </rPh>
    <rPh sb="16" eb="17">
      <t>オナ</t>
    </rPh>
    <rPh sb="18" eb="20">
      <t>ケッカ</t>
    </rPh>
    <rPh sb="26" eb="27">
      <t>カン</t>
    </rPh>
    <rPh sb="37" eb="38">
      <t>オモ</t>
    </rPh>
    <phoneticPr fontId="2"/>
  </si>
  <si>
    <t>p70解説８訂正</t>
    <rPh sb="6" eb="8">
      <t>テイセイ</t>
    </rPh>
    <phoneticPr fontId="2"/>
  </si>
  <si>
    <t>右下の式において、0.485が上付き（累乗を表す）になっていませんでした。</t>
    <rPh sb="19" eb="21">
      <t>ルイジョウ</t>
    </rPh>
    <rPh sb="22" eb="23">
      <t>アラワ</t>
    </rPh>
    <phoneticPr fontId="2"/>
  </si>
  <si>
    <t>その脇の範囲は-0.322≦N＜1が正しいです。</t>
    <rPh sb="2" eb="3">
      <t>ワキ</t>
    </rPh>
    <rPh sb="4" eb="6">
      <t>ハンイ</t>
    </rPh>
    <rPh sb="18" eb="19">
      <t>タダ</t>
    </rPh>
    <phoneticPr fontId="2"/>
  </si>
  <si>
    <t>併せてお詫びします。</t>
    <rPh sb="0" eb="1">
      <t>アワ</t>
    </rPh>
    <rPh sb="4" eb="5">
      <t>ワ</t>
    </rPh>
    <phoneticPr fontId="2"/>
  </si>
  <si>
    <r>
      <t>λ</t>
    </r>
    <r>
      <rPr>
        <sz val="10"/>
        <color theme="3" tint="0.39997558519241921"/>
        <rFont val="Osaka"/>
        <charset val="128"/>
      </rPr>
      <t>（c=344として計算）</t>
    </r>
    <rPh sb="10" eb="12">
      <t>ケイサン</t>
    </rPh>
    <phoneticPr fontId="3"/>
  </si>
  <si>
    <t>※Nの符号は、受音点から騒音源を見通せる場合ーとなる</t>
    <rPh sb="3" eb="5">
      <t>フゴウ</t>
    </rPh>
    <rPh sb="7" eb="8">
      <t>ジュオンテンカラ</t>
    </rPh>
    <rPh sb="8" eb="10">
      <t>オンテン</t>
    </rPh>
    <rPh sb="12" eb="15">
      <t>ソウオンゲン</t>
    </rPh>
    <rPh sb="16" eb="18">
      <t>ミトオ</t>
    </rPh>
    <rPh sb="20" eb="22">
      <t>バアイ</t>
    </rPh>
    <phoneticPr fontId="2"/>
  </si>
  <si>
    <r>
      <t>↑sinh</t>
    </r>
    <r>
      <rPr>
        <vertAlign val="superscript"/>
        <sz val="10"/>
        <color theme="3" tint="0.39997558519241921"/>
        <rFont val="Osaka"/>
        <charset val="128"/>
      </rPr>
      <t>-1</t>
    </r>
    <r>
      <rPr>
        <sz val="10"/>
        <color theme="3" tint="0.39997558519241921"/>
        <rFont val="Osaka"/>
        <charset val="128"/>
      </rPr>
      <t xml:space="preserve"> x = log</t>
    </r>
    <r>
      <rPr>
        <vertAlign val="subscript"/>
        <sz val="10"/>
        <color theme="3" tint="0.39997558519241921"/>
        <rFont val="Osaka"/>
        <charset val="128"/>
      </rPr>
      <t>e</t>
    </r>
    <r>
      <rPr>
        <sz val="10"/>
        <color theme="3" tint="0.39997558519241921"/>
        <rFont val="Osaka"/>
        <charset val="128"/>
      </rPr>
      <t>(x+√(x</t>
    </r>
    <r>
      <rPr>
        <vertAlign val="superscript"/>
        <sz val="10"/>
        <color theme="3" tint="0.39997558519241921"/>
        <rFont val="Osaka"/>
        <charset val="128"/>
      </rPr>
      <t>2</t>
    </r>
    <r>
      <rPr>
        <sz val="10"/>
        <color theme="3" tint="0.39997558519241921"/>
        <rFont val="Osaka"/>
        <charset val="128"/>
      </rPr>
      <t>+1))という関係がある。これを使用している</t>
    </r>
    <rPh sb="30" eb="32">
      <t>カンケイ</t>
    </rPh>
    <rPh sb="39" eb="41">
      <t>シヨウ</t>
    </rPh>
    <phoneticPr fontId="2"/>
  </si>
  <si>
    <t>サンプルケース（１）について、音の減衰を、125Hzと2,000Hzについても計算してみよう。</t>
    <rPh sb="15" eb="16">
      <t>オト</t>
    </rPh>
    <rPh sb="17" eb="19">
      <t>ゲンスイ</t>
    </rPh>
    <rPh sb="39" eb="41">
      <t>ケイサン</t>
    </rPh>
    <phoneticPr fontId="2"/>
  </si>
  <si>
    <t>　これは、解説８の図の精度が一部低かったためです。</t>
    <rPh sb="14" eb="16">
      <t>イチブ</t>
    </rPh>
    <phoneticPr fontId="2"/>
  </si>
  <si>
    <t>(5)</t>
    <phoneticPr fontId="2"/>
  </si>
  <si>
    <t>(1)</t>
    <phoneticPr fontId="2"/>
  </si>
  <si>
    <t>(2)</t>
  </si>
  <si>
    <t>(3)</t>
  </si>
  <si>
    <t>(4)</t>
  </si>
  <si>
    <t>換気口面積を除いた壁体の透過損失</t>
    <rPh sb="0" eb="3">
      <t>カンキコウ</t>
    </rPh>
    <rPh sb="3" eb="5">
      <t>メンセキ</t>
    </rPh>
    <rPh sb="6" eb="7">
      <t>ノゾ</t>
    </rPh>
    <rPh sb="9" eb="10">
      <t>ヘキタイ</t>
    </rPh>
    <rPh sb="12" eb="16">
      <t>トウカソンシツ</t>
    </rPh>
    <phoneticPr fontId="3"/>
  </si>
  <si>
    <t>窓面積を除いた壁体の透過損失</t>
    <rPh sb="0" eb="1">
      <t>マド</t>
    </rPh>
    <rPh sb="1" eb="3">
      <t>メンセキ</t>
    </rPh>
    <rPh sb="4" eb="5">
      <t>ノゾ</t>
    </rPh>
    <rPh sb="7" eb="9">
      <t>ヘキタイ</t>
    </rPh>
    <rPh sb="10" eb="14">
      <t>トウカソンシツ</t>
    </rPh>
    <phoneticPr fontId="3"/>
  </si>
  <si>
    <t>ドア隙間面積を除いた壁体の透過損失</t>
    <rPh sb="2" eb="4">
      <t>スキマ</t>
    </rPh>
    <rPh sb="4" eb="6">
      <t>メンセキ</t>
    </rPh>
    <rPh sb="7" eb="8">
      <t>ノゾ</t>
    </rPh>
    <rPh sb="10" eb="12">
      <t>ヘキタイ</t>
    </rPh>
    <rPh sb="13" eb="17">
      <t>トウカソンシツ</t>
    </rPh>
    <phoneticPr fontId="3"/>
  </si>
  <si>
    <t>←結果が自動で表示されます</t>
    <rPh sb="1" eb="3">
      <t>ケッカ</t>
    </rPh>
    <rPh sb="4" eb="6">
      <t>ジドウ</t>
    </rPh>
    <rPh sb="7" eb="9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</si>
</sst>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0.0"/>
    <numFmt numFmtId="178" formatCode="0.0000"/>
    <numFmt numFmtId="179" formatCode="0.000"/>
  </numFmts>
  <fonts count="31" x14ac:knownFonts="1">
    <font>
      <sz val="12"/>
      <name val="Osaka"/>
      <charset val="128"/>
    </font>
    <font>
      <sz val="12"/>
      <name val="Osaka"/>
      <charset val="128"/>
    </font>
    <font>
      <sz val="6"/>
      <name val="Osaka"/>
      <family val="3"/>
      <charset val="128"/>
    </font>
    <font>
      <sz val="6"/>
      <name val="ヒラギノ角ゴ Pro W3"/>
      <charset val="128"/>
    </font>
    <font>
      <sz val="11"/>
      <name val="ＭＳ Ｐゴシック"/>
      <family val="3"/>
      <charset val="128"/>
    </font>
    <font>
      <sz val="10"/>
      <color indexed="12"/>
      <name val="Osaka"/>
      <charset val="128"/>
    </font>
    <font>
      <sz val="12"/>
      <color indexed="12"/>
      <name val="Osaka"/>
      <charset val="128"/>
    </font>
    <font>
      <sz val="10"/>
      <color indexed="10"/>
      <name val="Osaka"/>
      <charset val="128"/>
    </font>
    <font>
      <sz val="10"/>
      <name val="Osaka"/>
      <charset val="128"/>
    </font>
    <font>
      <sz val="8"/>
      <name val="Osaka"/>
      <family val="3"/>
      <charset val="128"/>
    </font>
    <font>
      <sz val="8"/>
      <color indexed="12"/>
      <name val="Osaka"/>
      <charset val="128"/>
    </font>
    <font>
      <sz val="12"/>
      <color indexed="39"/>
      <name val="Osaka"/>
      <charset val="128"/>
    </font>
    <font>
      <sz val="12"/>
      <color indexed="18"/>
      <name val="Osaka"/>
      <charset val="128"/>
    </font>
    <font>
      <sz val="12"/>
      <color indexed="17"/>
      <name val="Osaka"/>
      <charset val="128"/>
    </font>
    <font>
      <vertAlign val="subscript"/>
      <sz val="12"/>
      <color indexed="18"/>
      <name val="Osaka"/>
      <charset val="128"/>
    </font>
    <font>
      <sz val="10"/>
      <color rgb="FFFF0000"/>
      <name val="Osaka"/>
      <charset val="128"/>
    </font>
    <font>
      <sz val="12"/>
      <color rgb="FFFF0000"/>
      <name val="Osaka"/>
      <family val="2"/>
      <charset val="128"/>
    </font>
    <font>
      <sz val="12"/>
      <color rgb="FF000090"/>
      <name val="Osaka"/>
      <charset val="128"/>
    </font>
    <font>
      <sz val="12"/>
      <color theme="3" tint="0.39997558519241921"/>
      <name val="Osaka"/>
      <charset val="128"/>
    </font>
    <font>
      <sz val="12"/>
      <color theme="1"/>
      <name val="Osaka"/>
      <family val="2"/>
      <charset val="128"/>
    </font>
    <font>
      <sz val="12"/>
      <color rgb="FF800000"/>
      <name val="Osaka"/>
      <charset val="128"/>
    </font>
    <font>
      <vertAlign val="superscript"/>
      <sz val="12"/>
      <color theme="3" tint="0.39997558519241921"/>
      <name val="Osaka"/>
      <charset val="128"/>
    </font>
    <font>
      <sz val="12"/>
      <color theme="0"/>
      <name val="Osaka"/>
      <charset val="128"/>
    </font>
    <font>
      <sz val="10"/>
      <color theme="3" tint="0.39997558519241921"/>
      <name val="Osaka"/>
      <charset val="128"/>
    </font>
    <font>
      <u/>
      <sz val="12"/>
      <color theme="10"/>
      <name val="Osaka"/>
      <charset val="128"/>
    </font>
    <font>
      <u/>
      <sz val="12"/>
      <color theme="11"/>
      <name val="Osaka"/>
      <charset val="128"/>
    </font>
    <font>
      <vertAlign val="subscript"/>
      <sz val="10"/>
      <color theme="3" tint="0.39997558519241921"/>
      <name val="Osaka"/>
      <charset val="128"/>
    </font>
    <font>
      <vertAlign val="superscript"/>
      <sz val="10"/>
      <color theme="3" tint="0.39997558519241921"/>
      <name val="Osaka"/>
      <charset val="128"/>
    </font>
    <font>
      <vertAlign val="superscript"/>
      <sz val="8"/>
      <name val="Osaka"/>
      <charset val="128"/>
    </font>
    <font>
      <sz val="10"/>
      <color rgb="FF800000"/>
      <name val="Osaka"/>
      <charset val="128"/>
    </font>
    <font>
      <sz val="11"/>
      <color rgb="FF800000"/>
      <name val="Osaka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5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38" fontId="4" fillId="0" borderId="0" applyFont="0" applyFill="0" applyBorder="0" applyAlignment="0" applyProtection="0"/>
    <xf numFmtId="0" fontId="4" fillId="0" borderId="0"/>
    <xf numFmtId="0" fontId="19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center" vertical="top"/>
    </xf>
    <xf numFmtId="177" fontId="0" fillId="0" borderId="0" xfId="0" applyNumberFormat="1"/>
    <xf numFmtId="9" fontId="0" fillId="0" borderId="0" xfId="1" applyFont="1"/>
    <xf numFmtId="0" fontId="5" fillId="0" borderId="0" xfId="0" applyFont="1"/>
    <xf numFmtId="177" fontId="6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" xfId="0" applyFont="1" applyBorder="1"/>
    <xf numFmtId="2" fontId="8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177" fontId="8" fillId="0" borderId="0" xfId="0" applyNumberFormat="1" applyFont="1" applyFill="1"/>
    <xf numFmtId="2" fontId="8" fillId="0" borderId="0" xfId="0" applyNumberFormat="1" applyFont="1"/>
    <xf numFmtId="179" fontId="8" fillId="0" borderId="0" xfId="0" applyNumberFormat="1" applyFont="1"/>
    <xf numFmtId="0" fontId="8" fillId="0" borderId="0" xfId="0" applyFont="1" applyFill="1"/>
    <xf numFmtId="2" fontId="8" fillId="0" borderId="0" xfId="0" applyNumberFormat="1" applyFont="1" applyFill="1"/>
    <xf numFmtId="177" fontId="8" fillId="2" borderId="0" xfId="0" applyNumberFormat="1" applyFont="1" applyFill="1"/>
    <xf numFmtId="177" fontId="8" fillId="3" borderId="0" xfId="0" applyNumberFormat="1" applyFont="1" applyFill="1"/>
    <xf numFmtId="177" fontId="8" fillId="4" borderId="0" xfId="0" applyNumberFormat="1" applyFont="1" applyFill="1"/>
    <xf numFmtId="0" fontId="8" fillId="2" borderId="0" xfId="0" applyFont="1" applyFill="1"/>
    <xf numFmtId="2" fontId="8" fillId="2" borderId="0" xfId="0" applyNumberFormat="1" applyFont="1" applyFill="1"/>
    <xf numFmtId="0" fontId="8" fillId="3" borderId="0" xfId="0" applyFont="1" applyFill="1"/>
    <xf numFmtId="2" fontId="8" fillId="3" borderId="0" xfId="0" applyNumberFormat="1" applyFont="1" applyFill="1"/>
    <xf numFmtId="179" fontId="8" fillId="0" borderId="0" xfId="0" applyNumberFormat="1" applyFont="1" applyFill="1"/>
    <xf numFmtId="0" fontId="8" fillId="4" borderId="0" xfId="0" applyFont="1" applyFill="1"/>
    <xf numFmtId="2" fontId="8" fillId="4" borderId="0" xfId="0" applyNumberFormat="1" applyFont="1" applyFill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2" fontId="8" fillId="5" borderId="0" xfId="0" applyNumberFormat="1" applyFont="1" applyFill="1"/>
    <xf numFmtId="0" fontId="8" fillId="0" borderId="0" xfId="0" applyFont="1" applyAlignment="1">
      <alignment horizontal="center"/>
    </xf>
    <xf numFmtId="0" fontId="8" fillId="0" borderId="0" xfId="0" quotePrefix="1" applyFont="1"/>
    <xf numFmtId="177" fontId="8" fillId="0" borderId="0" xfId="0" applyNumberFormat="1" applyFont="1"/>
    <xf numFmtId="0" fontId="9" fillId="0" borderId="0" xfId="3" applyFont="1"/>
    <xf numFmtId="0" fontId="8" fillId="0" borderId="0" xfId="3" applyFont="1"/>
    <xf numFmtId="2" fontId="8" fillId="0" borderId="0" xfId="3" applyNumberFormat="1" applyFont="1"/>
    <xf numFmtId="179" fontId="8" fillId="0" borderId="0" xfId="3" applyNumberFormat="1" applyFont="1"/>
    <xf numFmtId="0" fontId="8" fillId="6" borderId="0" xfId="3" applyFont="1" applyFill="1"/>
    <xf numFmtId="38" fontId="0" fillId="0" borderId="0" xfId="2" applyFont="1"/>
    <xf numFmtId="0" fontId="0" fillId="0" borderId="0" xfId="0" applyAlignment="1">
      <alignment horizontal="center"/>
    </xf>
    <xf numFmtId="176" fontId="0" fillId="0" borderId="0" xfId="0" applyNumberFormat="1"/>
    <xf numFmtId="0" fontId="0" fillId="0" borderId="0" xfId="0" applyFill="1"/>
    <xf numFmtId="0" fontId="0" fillId="0" borderId="2" xfId="0" applyBorder="1" applyAlignment="1">
      <alignment horizontal="center"/>
    </xf>
    <xf numFmtId="177" fontId="0" fillId="0" borderId="2" xfId="0" applyNumberFormat="1" applyBorder="1"/>
    <xf numFmtId="0" fontId="0" fillId="0" borderId="2" xfId="0" applyBorder="1"/>
    <xf numFmtId="0" fontId="8" fillId="0" borderId="3" xfId="0" applyFont="1" applyBorder="1"/>
    <xf numFmtId="0" fontId="8" fillId="0" borderId="4" xfId="0" applyFont="1" applyBorder="1"/>
    <xf numFmtId="179" fontId="8" fillId="0" borderId="4" xfId="0" applyNumberFormat="1" applyFont="1" applyBorder="1"/>
    <xf numFmtId="2" fontId="8" fillId="0" borderId="4" xfId="0" applyNumberFormat="1" applyFont="1" applyBorder="1"/>
    <xf numFmtId="2" fontId="8" fillId="5" borderId="4" xfId="0" applyNumberFormat="1" applyFont="1" applyFill="1" applyBorder="1"/>
    <xf numFmtId="179" fontId="8" fillId="0" borderId="5" xfId="0" applyNumberFormat="1" applyFont="1" applyBorder="1"/>
    <xf numFmtId="0" fontId="8" fillId="0" borderId="0" xfId="0" applyFont="1" applyBorder="1"/>
    <xf numFmtId="179" fontId="8" fillId="0" borderId="0" xfId="0" applyNumberFormat="1" applyFont="1" applyBorder="1"/>
    <xf numFmtId="2" fontId="8" fillId="0" borderId="0" xfId="0" applyNumberFormat="1" applyFont="1" applyBorder="1"/>
    <xf numFmtId="2" fontId="8" fillId="5" borderId="0" xfId="0" applyNumberFormat="1" applyFont="1" applyFill="1" applyBorder="1"/>
    <xf numFmtId="178" fontId="8" fillId="0" borderId="0" xfId="0" applyNumberFormat="1" applyFont="1"/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right"/>
    </xf>
    <xf numFmtId="177" fontId="0" fillId="0" borderId="0" xfId="0" applyNumberFormat="1" applyFont="1"/>
    <xf numFmtId="0" fontId="0" fillId="0" borderId="0" xfId="0" applyFont="1"/>
    <xf numFmtId="0" fontId="9" fillId="0" borderId="0" xfId="3" applyFont="1" applyAlignment="1">
      <alignment horizontal="center"/>
    </xf>
    <xf numFmtId="0" fontId="9" fillId="0" borderId="0" xfId="3" quotePrefix="1" applyFont="1" applyAlignment="1">
      <alignment horizontal="center"/>
    </xf>
    <xf numFmtId="177" fontId="0" fillId="8" borderId="2" xfId="0" applyNumberFormat="1" applyFill="1" applyBorder="1"/>
    <xf numFmtId="0" fontId="0" fillId="8" borderId="2" xfId="0" applyFill="1" applyBorder="1"/>
    <xf numFmtId="1" fontId="0" fillId="8" borderId="2" xfId="0" applyNumberFormat="1" applyFill="1" applyBorder="1"/>
    <xf numFmtId="0" fontId="0" fillId="9" borderId="2" xfId="0" applyFill="1" applyBorder="1"/>
    <xf numFmtId="38" fontId="0" fillId="0" borderId="0" xfId="0" applyNumberFormat="1" applyFill="1"/>
    <xf numFmtId="0" fontId="17" fillId="0" borderId="0" xfId="0" applyFont="1"/>
    <xf numFmtId="0" fontId="17" fillId="0" borderId="0" xfId="0" applyFont="1" applyFill="1" applyBorder="1"/>
    <xf numFmtId="0" fontId="18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0" fillId="7" borderId="2" xfId="0" applyFill="1" applyBorder="1"/>
    <xf numFmtId="177" fontId="0" fillId="7" borderId="2" xfId="0" applyNumberForma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77" fontId="0" fillId="0" borderId="0" xfId="0" applyNumberFormat="1" applyFill="1" applyBorder="1"/>
    <xf numFmtId="0" fontId="1" fillId="7" borderId="2" xfId="1" applyNumberFormat="1" applyFont="1" applyFill="1" applyBorder="1"/>
    <xf numFmtId="0" fontId="20" fillId="0" borderId="0" xfId="0" applyFont="1"/>
    <xf numFmtId="0" fontId="0" fillId="0" borderId="0" xfId="0" applyAlignment="1">
      <alignment wrapText="1"/>
    </xf>
    <xf numFmtId="176" fontId="1" fillId="7" borderId="2" xfId="1" applyNumberFormat="1" applyFont="1" applyFill="1" applyBorder="1"/>
    <xf numFmtId="2" fontId="1" fillId="7" borderId="2" xfId="1" applyNumberFormat="1" applyFont="1" applyFill="1" applyBorder="1"/>
    <xf numFmtId="177" fontId="0" fillId="0" borderId="0" xfId="0" applyNumberFormat="1" applyBorder="1"/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center"/>
    </xf>
    <xf numFmtId="2" fontId="0" fillId="7" borderId="2" xfId="0" applyNumberFormat="1" applyFill="1" applyBorder="1"/>
    <xf numFmtId="1" fontId="22" fillId="0" borderId="0" xfId="0" applyNumberFormat="1" applyFont="1"/>
    <xf numFmtId="177" fontId="22" fillId="0" borderId="0" xfId="0" applyNumberFormat="1" applyFont="1"/>
    <xf numFmtId="0" fontId="22" fillId="0" borderId="0" xfId="0" applyFont="1"/>
    <xf numFmtId="1" fontId="0" fillId="0" borderId="2" xfId="0" applyNumberFormat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23" fillId="0" borderId="0" xfId="0" applyFont="1"/>
    <xf numFmtId="2" fontId="23" fillId="0" borderId="0" xfId="0" applyNumberFormat="1" applyFont="1"/>
    <xf numFmtId="0" fontId="29" fillId="0" borderId="0" xfId="0" applyFont="1"/>
    <xf numFmtId="0" fontId="29" fillId="0" borderId="0" xfId="0" applyFont="1" applyBorder="1"/>
    <xf numFmtId="2" fontId="8" fillId="5" borderId="7" xfId="0" applyNumberFormat="1" applyFont="1" applyFill="1" applyBorder="1"/>
    <xf numFmtId="0" fontId="23" fillId="0" borderId="0" xfId="0" quotePrefix="1" applyFont="1" applyAlignment="1">
      <alignment horizontal="right"/>
    </xf>
    <xf numFmtId="0" fontId="0" fillId="0" borderId="0" xfId="0" applyAlignment="1">
      <alignment horizontal="center"/>
    </xf>
    <xf numFmtId="0" fontId="8" fillId="0" borderId="2" xfId="0" applyFont="1" applyBorder="1"/>
    <xf numFmtId="0" fontId="30" fillId="0" borderId="0" xfId="0" applyFont="1"/>
  </cellXfs>
  <cellStyles count="55">
    <cellStyle name="パーセント" xfId="1" builtinId="5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桁区切り" xfId="2" builtinId="6"/>
    <cellStyle name="桁区切り 2" xfId="4"/>
    <cellStyle name="標準" xfId="0" builtinId="0"/>
    <cellStyle name="標準 2" xfId="5"/>
    <cellStyle name="標準 3" xfId="6"/>
    <cellStyle name="標準_図表01音環境.xls" xfId="3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145302207998"/>
          <c:y val="0.0564973309976689"/>
          <c:w val="0.810484668839652"/>
          <c:h val="0.782488034317715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回折のグラフ!$C$3:$C$10</c:f>
              <c:numCache>
                <c:formatCode>General</c:formatCode>
                <c:ptCount val="8"/>
                <c:pt idx="0">
                  <c:v>0.01</c:v>
                </c:pt>
                <c:pt idx="1">
                  <c:v>0.1</c:v>
                </c:pt>
                <c:pt idx="2">
                  <c:v>0.2</c:v>
                </c:pt>
                <c:pt idx="3">
                  <c:v>0.322</c:v>
                </c:pt>
                <c:pt idx="4">
                  <c:v>0.4</c:v>
                </c:pt>
                <c:pt idx="5">
                  <c:v>0.6</c:v>
                </c:pt>
                <c:pt idx="6">
                  <c:v>0.8</c:v>
                </c:pt>
                <c:pt idx="7">
                  <c:v>1.0</c:v>
                </c:pt>
              </c:numCache>
            </c:numRef>
          </c:xVal>
          <c:yVal>
            <c:numRef>
              <c:f>回折のグラフ!$F$3:$F$10</c:f>
              <c:numCache>
                <c:formatCode>0.00</c:formatCode>
                <c:ptCount val="8"/>
                <c:pt idx="0">
                  <c:v>5.973226235323704</c:v>
                </c:pt>
                <c:pt idx="1">
                  <c:v>7.928015503483186</c:v>
                </c:pt>
                <c:pt idx="2">
                  <c:v>9.035510136174817</c:v>
                </c:pt>
                <c:pt idx="3">
                  <c:v>9.99733168257514</c:v>
                </c:pt>
                <c:pt idx="4">
                  <c:v>10.49492690094807</c:v>
                </c:pt>
                <c:pt idx="5">
                  <c:v>11.52844862098754</c:v>
                </c:pt>
                <c:pt idx="6">
                  <c:v>12.34326743756178</c:v>
                </c:pt>
                <c:pt idx="7">
                  <c:v>13.02049964187784</c:v>
                </c:pt>
              </c:numCache>
            </c:numRef>
          </c:yVal>
          <c:smooth val="1"/>
        </c:ser>
        <c:ser>
          <c:idx val="1"/>
          <c:order val="1"/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回折のグラフ!$C$10:$C$15</c:f>
              <c:numCache>
                <c:formatCode>General</c:formatCode>
                <c:ptCount val="6"/>
                <c:pt idx="0">
                  <c:v>1.0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</c:numCache>
            </c:numRef>
          </c:xVal>
          <c:yVal>
            <c:numRef>
              <c:f>回折のグラフ!$G$10:$G$15</c:f>
              <c:numCache>
                <c:formatCode>0.00</c:formatCode>
                <c:ptCount val="6"/>
                <c:pt idx="0">
                  <c:v>13.0</c:v>
                </c:pt>
                <c:pt idx="1">
                  <c:v>16.01029995663981</c:v>
                </c:pt>
                <c:pt idx="2">
                  <c:v>19.02059991327963</c:v>
                </c:pt>
                <c:pt idx="3">
                  <c:v>20.78151250383644</c:v>
                </c:pt>
                <c:pt idx="4">
                  <c:v>22.03089986991944</c:v>
                </c:pt>
                <c:pt idx="5">
                  <c:v>23.0</c:v>
                </c:pt>
              </c:numCache>
            </c:numRef>
          </c:yVal>
          <c:smooth val="1"/>
        </c:ser>
        <c:ser>
          <c:idx val="2"/>
          <c:order val="2"/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回折のグラフ!$C$3:$C$6</c:f>
              <c:numCache>
                <c:formatCode>General</c:formatCode>
                <c:ptCount val="4"/>
                <c:pt idx="0">
                  <c:v>0.01</c:v>
                </c:pt>
                <c:pt idx="1">
                  <c:v>0.1</c:v>
                </c:pt>
                <c:pt idx="2">
                  <c:v>0.2</c:v>
                </c:pt>
                <c:pt idx="3">
                  <c:v>0.322</c:v>
                </c:pt>
              </c:numCache>
            </c:numRef>
          </c:xVal>
          <c:yVal>
            <c:numRef>
              <c:f>回折のグラフ!$E$3:$E$6</c:f>
              <c:numCache>
                <c:formatCode>0.00</c:formatCode>
                <c:ptCount val="4"/>
                <c:pt idx="0">
                  <c:v>4.026773764676295</c:v>
                </c:pt>
                <c:pt idx="1">
                  <c:v>2.071984496516814</c:v>
                </c:pt>
                <c:pt idx="2">
                  <c:v>0.964489863825183</c:v>
                </c:pt>
                <c:pt idx="3">
                  <c:v>0.00266831742485962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4757368"/>
        <c:axId val="2144654248"/>
      </c:scatterChart>
      <c:valAx>
        <c:axId val="2144757368"/>
        <c:scaling>
          <c:logBase val="10.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latin typeface="ＭＳ Ｐゴシック"/>
                    <a:ea typeface="ＭＳ Ｐゴシック"/>
                    <a:cs typeface="ＭＳ Ｐゴシック"/>
                  </a:rPr>
                  <a:t>フレネル数　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N</a:t>
                </a:r>
              </a:p>
            </c:rich>
          </c:tx>
          <c:layout>
            <c:manualLayout>
              <c:xMode val="edge"/>
              <c:yMode val="edge"/>
              <c:x val="0.475806927863856"/>
              <c:y val="0.9039572489879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44654248"/>
        <c:crosses val="autoZero"/>
        <c:crossBetween val="midCat"/>
      </c:valAx>
      <c:valAx>
        <c:axId val="2144654248"/>
        <c:scaling>
          <c:orientation val="minMax"/>
          <c:max val="2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回折減衰量　</a:t>
                </a:r>
                <a:r>
                  <a:rPr lang="en-US" altLang="ja-JP"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⊿</a:t>
                </a:r>
                <a:r>
                  <a:rPr lang="ja-JP" altLang="en-US"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　</a:t>
                </a:r>
                <a:r>
                  <a:rPr lang="en-US" altLang="ja-JP"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(dB)</a:t>
                </a:r>
              </a:p>
            </c:rich>
          </c:tx>
          <c:layout>
            <c:manualLayout>
              <c:xMode val="edge"/>
              <c:yMode val="edge"/>
              <c:x val="0.0262096774193548"/>
              <c:y val="0.29378620045375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44757368"/>
        <c:crossesAt val="0.01"/>
        <c:crossBetween val="midCat"/>
        <c:majorUnit val="2.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 paperSize="9" orientation="landscape" horizontalDpi="30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165100</xdr:colOff>
      <xdr:row>1</xdr:row>
      <xdr:rowOff>50800</xdr:rowOff>
    </xdr:from>
    <xdr:to>
      <xdr:col>16</xdr:col>
      <xdr:colOff>901700</xdr:colOff>
      <xdr:row>33</xdr:row>
      <xdr:rowOff>88900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3200" y="279400"/>
          <a:ext cx="8432800" cy="735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17</xdr:row>
      <xdr:rowOff>165100</xdr:rowOff>
    </xdr:from>
    <xdr:to>
      <xdr:col>10</xdr:col>
      <xdr:colOff>241300</xdr:colOff>
      <xdr:row>43</xdr:row>
      <xdr:rowOff>38100</xdr:rowOff>
    </xdr:to>
    <xdr:graphicFrame macro="">
      <xdr:nvGraphicFramePr>
        <xdr:cNvPr id="1952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50800</xdr:rowOff>
    </xdr:from>
    <xdr:to>
      <xdr:col>15</xdr:col>
      <xdr:colOff>1181100</xdr:colOff>
      <xdr:row>92</xdr:row>
      <xdr:rowOff>12700</xdr:rowOff>
    </xdr:to>
    <xdr:pic>
      <xdr:nvPicPr>
        <xdr:cNvPr id="17433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162800"/>
          <a:ext cx="14274800" cy="920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5"/>
  <sheetViews>
    <sheetView tabSelected="1" workbookViewId="0"/>
  </sheetViews>
  <sheetFormatPr baseColWidth="12" defaultRowHeight="18" x14ac:dyDescent="0"/>
  <cols>
    <col min="1" max="1" width="5" customWidth="1"/>
    <col min="2" max="8" width="5.875" customWidth="1"/>
    <col min="9" max="10" width="14.625" customWidth="1"/>
  </cols>
  <sheetData>
    <row r="2" spans="2:6">
      <c r="B2" s="73" t="s">
        <v>163</v>
      </c>
    </row>
    <row r="3" spans="2:6">
      <c r="B3" s="73" t="s">
        <v>153</v>
      </c>
    </row>
    <row r="4" spans="2:6">
      <c r="B4" s="73" t="s">
        <v>154</v>
      </c>
    </row>
    <row r="5" spans="2:6">
      <c r="B5" s="73" t="s">
        <v>155</v>
      </c>
    </row>
    <row r="6" spans="2:6">
      <c r="B6" s="73" t="s">
        <v>156</v>
      </c>
    </row>
    <row r="7" spans="2:6">
      <c r="B7" s="73"/>
    </row>
    <row r="8" spans="2:6">
      <c r="B8" s="73" t="s">
        <v>164</v>
      </c>
    </row>
    <row r="9" spans="2:6">
      <c r="B9" s="73" t="s">
        <v>157</v>
      </c>
    </row>
    <row r="10" spans="2:6">
      <c r="B10" s="73" t="s">
        <v>158</v>
      </c>
    </row>
    <row r="11" spans="2:6">
      <c r="B11" s="73" t="s">
        <v>159</v>
      </c>
    </row>
    <row r="12" spans="2:6">
      <c r="B12" s="73"/>
    </row>
    <row r="13" spans="2:6">
      <c r="B13" s="47">
        <f>D13*F13</f>
        <v>12</v>
      </c>
      <c r="C13" s="44" t="s">
        <v>182</v>
      </c>
      <c r="D13" s="44">
        <v>3</v>
      </c>
      <c r="E13" s="44" t="s">
        <v>160</v>
      </c>
      <c r="F13" s="44">
        <v>4</v>
      </c>
    </row>
    <row r="14" spans="2:6">
      <c r="B14" s="73"/>
    </row>
    <row r="15" spans="2:6">
      <c r="B15" s="73" t="s">
        <v>161</v>
      </c>
    </row>
    <row r="16" spans="2:6">
      <c r="B16" s="73" t="s">
        <v>183</v>
      </c>
    </row>
    <row r="17" spans="2:8">
      <c r="B17" s="75" t="s">
        <v>184</v>
      </c>
    </row>
    <row r="18" spans="2:8">
      <c r="B18" s="75" t="s">
        <v>185</v>
      </c>
    </row>
    <row r="19" spans="2:8">
      <c r="B19" s="74"/>
    </row>
    <row r="20" spans="2:8">
      <c r="B20" s="74" t="s">
        <v>166</v>
      </c>
    </row>
    <row r="21" spans="2:8">
      <c r="B21" s="74" t="s">
        <v>186</v>
      </c>
    </row>
    <row r="22" spans="2:8">
      <c r="B22" s="74" t="s">
        <v>165</v>
      </c>
    </row>
    <row r="23" spans="2:8">
      <c r="B23" s="73" t="s">
        <v>187</v>
      </c>
    </row>
    <row r="24" spans="2:8">
      <c r="B24" s="73" t="s">
        <v>188</v>
      </c>
    </row>
    <row r="25" spans="2:8">
      <c r="B25" s="73"/>
    </row>
    <row r="26" spans="2:8">
      <c r="B26" s="73" t="s">
        <v>162</v>
      </c>
    </row>
    <row r="27" spans="2:8">
      <c r="B27" s="73" t="s">
        <v>189</v>
      </c>
    </row>
    <row r="28" spans="2:8">
      <c r="B28" s="73"/>
    </row>
    <row r="29" spans="2:8">
      <c r="B29" s="73" t="s">
        <v>167</v>
      </c>
    </row>
    <row r="30" spans="2:8">
      <c r="B30" s="73" t="s">
        <v>168</v>
      </c>
    </row>
    <row r="31" spans="2:8">
      <c r="B31" s="73"/>
      <c r="G31" t="s">
        <v>97</v>
      </c>
      <c r="H31" s="62" t="s">
        <v>190</v>
      </c>
    </row>
    <row r="32" spans="2:8">
      <c r="B32" s="73" t="s">
        <v>171</v>
      </c>
      <c r="C32" s="73" t="s">
        <v>191</v>
      </c>
      <c r="D32" s="77" t="s">
        <v>152</v>
      </c>
      <c r="E32" s="77" t="s">
        <v>175</v>
      </c>
      <c r="F32" s="73"/>
      <c r="G32" s="73"/>
      <c r="H32" s="73">
        <f>9+3</f>
        <v>12</v>
      </c>
    </row>
    <row r="33" spans="2:8">
      <c r="B33" s="73" t="s">
        <v>172</v>
      </c>
      <c r="C33" s="73" t="s">
        <v>192</v>
      </c>
      <c r="D33" s="77" t="s">
        <v>193</v>
      </c>
      <c r="E33" s="77" t="s">
        <v>194</v>
      </c>
      <c r="F33" s="73"/>
      <c r="G33" s="73"/>
      <c r="H33" s="73">
        <f>15-3</f>
        <v>12</v>
      </c>
    </row>
    <row r="34" spans="2:8">
      <c r="B34" s="73" t="s">
        <v>173</v>
      </c>
      <c r="C34" s="73" t="s">
        <v>195</v>
      </c>
      <c r="D34" s="77" t="s">
        <v>152</v>
      </c>
      <c r="E34" s="77" t="s">
        <v>176</v>
      </c>
      <c r="F34" s="73"/>
      <c r="G34" s="73"/>
      <c r="H34" s="73">
        <f>3*4</f>
        <v>12</v>
      </c>
    </row>
    <row r="35" spans="2:8">
      <c r="B35" s="73" t="s">
        <v>174</v>
      </c>
      <c r="C35" s="73" t="s">
        <v>196</v>
      </c>
      <c r="D35" s="77" t="s">
        <v>193</v>
      </c>
      <c r="E35" s="77" t="s">
        <v>197</v>
      </c>
      <c r="F35" s="73"/>
      <c r="G35" s="73"/>
      <c r="H35" s="73">
        <f>24/2</f>
        <v>12</v>
      </c>
    </row>
    <row r="36" spans="2:8">
      <c r="B36" s="73" t="s">
        <v>169</v>
      </c>
      <c r="C36" s="73"/>
      <c r="D36" s="77" t="s">
        <v>193</v>
      </c>
      <c r="E36" s="77" t="s">
        <v>198</v>
      </c>
      <c r="F36" s="73"/>
      <c r="G36" s="73"/>
      <c r="H36" s="73">
        <f>2^3</f>
        <v>8</v>
      </c>
    </row>
    <row r="37" spans="2:8">
      <c r="B37" s="73"/>
      <c r="C37" s="73"/>
      <c r="D37" s="77"/>
      <c r="E37" s="77"/>
      <c r="F37" s="73"/>
      <c r="G37" s="73"/>
      <c r="H37" s="73"/>
    </row>
    <row r="38" spans="2:8">
      <c r="B38" s="73" t="s">
        <v>177</v>
      </c>
      <c r="C38" s="73"/>
      <c r="D38" s="77"/>
      <c r="E38" s="77"/>
      <c r="F38" s="73"/>
      <c r="G38" t="s">
        <v>97</v>
      </c>
      <c r="H38" s="62" t="s">
        <v>199</v>
      </c>
    </row>
    <row r="39" spans="2:8">
      <c r="B39" s="73" t="s">
        <v>170</v>
      </c>
      <c r="C39" s="73" t="s">
        <v>200</v>
      </c>
      <c r="D39" s="77" t="s">
        <v>201</v>
      </c>
      <c r="E39" s="76" t="s">
        <v>202</v>
      </c>
      <c r="F39" s="73"/>
      <c r="G39" s="73"/>
      <c r="H39" s="73">
        <f>LN(10)</f>
        <v>2.3025850929940459</v>
      </c>
    </row>
    <row r="40" spans="2:8">
      <c r="B40" s="73"/>
      <c r="C40" s="73" t="s">
        <v>203</v>
      </c>
      <c r="D40" s="73"/>
      <c r="E40" s="77" t="s">
        <v>204</v>
      </c>
      <c r="F40" s="73"/>
      <c r="G40" s="73"/>
      <c r="H40" s="73">
        <f>LOG10(100)</f>
        <v>2</v>
      </c>
    </row>
    <row r="41" spans="2:8">
      <c r="B41" s="73"/>
      <c r="C41" s="73"/>
      <c r="D41" s="73"/>
      <c r="E41" s="73"/>
      <c r="F41" s="73"/>
      <c r="G41" s="73"/>
      <c r="H41" s="73"/>
    </row>
    <row r="42" spans="2:8">
      <c r="B42" s="73"/>
    </row>
    <row r="43" spans="2:8">
      <c r="B43" s="73" t="s">
        <v>205</v>
      </c>
    </row>
    <row r="44" spans="2:8">
      <c r="B44" s="73" t="s">
        <v>178</v>
      </c>
    </row>
    <row r="45" spans="2:8">
      <c r="B45" s="73"/>
    </row>
    <row r="46" spans="2:8">
      <c r="B46" s="73" t="s">
        <v>179</v>
      </c>
    </row>
    <row r="47" spans="2:8">
      <c r="B47" s="73" t="s">
        <v>180</v>
      </c>
    </row>
    <row r="49" spans="2:2">
      <c r="B49" s="73" t="s">
        <v>181</v>
      </c>
    </row>
    <row r="51" spans="2:2">
      <c r="B51" s="75" t="s">
        <v>206</v>
      </c>
    </row>
    <row r="52" spans="2:2">
      <c r="B52" s="75" t="s">
        <v>207</v>
      </c>
    </row>
    <row r="53" spans="2:2">
      <c r="B53" s="75" t="s">
        <v>208</v>
      </c>
    </row>
    <row r="54" spans="2:2">
      <c r="B54" s="75" t="s">
        <v>209</v>
      </c>
    </row>
    <row r="55" spans="2:2">
      <c r="B55" s="75" t="s">
        <v>210</v>
      </c>
    </row>
  </sheetData>
  <phoneticPr fontId="2"/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2"/>
  <sheetViews>
    <sheetView workbookViewId="0"/>
  </sheetViews>
  <sheetFormatPr baseColWidth="12" defaultColWidth="7.625" defaultRowHeight="18" x14ac:dyDescent="0"/>
  <cols>
    <col min="1" max="2" width="3.375" customWidth="1"/>
    <col min="3" max="3" width="8.25" customWidth="1"/>
    <col min="4" max="5" width="6.125" customWidth="1"/>
    <col min="6" max="6" width="16" customWidth="1"/>
    <col min="7" max="7" width="6.125" customWidth="1"/>
    <col min="8" max="8" width="18.125" customWidth="1"/>
    <col min="9" max="13" width="6.125" customWidth="1"/>
  </cols>
  <sheetData>
    <row r="3" spans="2:13">
      <c r="C3" t="s">
        <v>146</v>
      </c>
    </row>
    <row r="4" spans="2:13">
      <c r="C4" t="s">
        <v>131</v>
      </c>
    </row>
    <row r="5" spans="2:13">
      <c r="D5" t="s">
        <v>148</v>
      </c>
      <c r="E5" s="62" t="s">
        <v>220</v>
      </c>
    </row>
    <row r="6" spans="2:13">
      <c r="C6" t="s">
        <v>132</v>
      </c>
      <c r="D6" t="s">
        <v>133</v>
      </c>
      <c r="E6" s="47"/>
      <c r="G6" s="96" t="str">
        <f>IF(E6&lt;&gt;"",IF(E6=I6,"○","×"),"")</f>
        <v/>
      </c>
      <c r="H6" s="105" t="s">
        <v>251</v>
      </c>
      <c r="I6" s="92">
        <v>45</v>
      </c>
    </row>
    <row r="7" spans="2:13">
      <c r="C7" t="s">
        <v>134</v>
      </c>
      <c r="D7" t="s">
        <v>135</v>
      </c>
      <c r="E7" s="47"/>
      <c r="G7" s="96" t="str">
        <f>IF(E7&lt;&gt;"",IF(E7=I7,"○","×"),"")</f>
        <v/>
      </c>
      <c r="I7" s="92">
        <v>40</v>
      </c>
    </row>
    <row r="8" spans="2:13">
      <c r="C8" t="s">
        <v>136</v>
      </c>
      <c r="D8" s="2" t="s">
        <v>137</v>
      </c>
      <c r="E8" s="95"/>
      <c r="F8" s="2"/>
      <c r="G8" s="96" t="str">
        <f>IF(E8&lt;&gt;"",IF(E8=I8,"○","×"),"")</f>
        <v/>
      </c>
      <c r="I8" s="92">
        <v>40</v>
      </c>
      <c r="K8" s="3"/>
      <c r="M8" s="3"/>
    </row>
    <row r="9" spans="2:13">
      <c r="C9" t="s">
        <v>138</v>
      </c>
      <c r="D9" t="s">
        <v>137</v>
      </c>
      <c r="E9" s="47"/>
      <c r="G9" s="96" t="str">
        <f>IF(E9&lt;&gt;"",IF(E9=I9,"○","×"),"")</f>
        <v/>
      </c>
      <c r="I9" s="92">
        <v>35</v>
      </c>
      <c r="K9" s="4"/>
      <c r="M9" s="4"/>
    </row>
    <row r="10" spans="2:13">
      <c r="C10" t="s">
        <v>139</v>
      </c>
      <c r="D10" t="s">
        <v>140</v>
      </c>
      <c r="E10" s="47"/>
      <c r="G10" s="96" t="str">
        <f>IF(E10&lt;&gt;"",IF(E10=I10,"○","×"),"")</f>
        <v/>
      </c>
      <c r="I10" s="92">
        <v>40</v>
      </c>
      <c r="K10" s="4"/>
      <c r="M10" s="4"/>
    </row>
    <row r="11" spans="2:13" ht="7" customHeight="1">
      <c r="B11" s="2"/>
      <c r="G11" s="2"/>
      <c r="I11" s="93"/>
      <c r="K11" s="3"/>
      <c r="M11" s="3"/>
    </row>
    <row r="12" spans="2:13">
      <c r="B12" s="2"/>
      <c r="D12" s="63" t="s">
        <v>149</v>
      </c>
      <c r="E12" s="47"/>
      <c r="G12" s="96" t="str">
        <f>IF(E12&lt;&gt;"",IF(E12=I12,"○","×"),"")</f>
        <v/>
      </c>
      <c r="I12" s="92">
        <f>MIN(I6:I10)</f>
        <v>35</v>
      </c>
      <c r="K12" s="3"/>
      <c r="M12" s="3"/>
    </row>
    <row r="13" spans="2:13">
      <c r="B13" s="2"/>
      <c r="G13" s="2"/>
      <c r="H13" s="64"/>
      <c r="I13" s="2"/>
      <c r="K13" s="3"/>
      <c r="M13" s="3"/>
    </row>
    <row r="14" spans="2:13">
      <c r="B14" s="2"/>
      <c r="C14" t="s">
        <v>147</v>
      </c>
      <c r="G14" s="5"/>
      <c r="H14" s="64"/>
      <c r="I14" s="5"/>
      <c r="K14" s="4"/>
    </row>
    <row r="15" spans="2:13">
      <c r="C15" t="s">
        <v>141</v>
      </c>
      <c r="G15" s="6"/>
      <c r="H15" s="65"/>
      <c r="I15" s="6"/>
      <c r="J15" s="6"/>
    </row>
    <row r="16" spans="2:13">
      <c r="D16" t="s">
        <v>148</v>
      </c>
      <c r="E16" s="62" t="s">
        <v>221</v>
      </c>
      <c r="H16" s="65"/>
    </row>
    <row r="17" spans="3:9">
      <c r="C17" t="s">
        <v>132</v>
      </c>
      <c r="D17" t="s">
        <v>142</v>
      </c>
      <c r="E17" s="47"/>
      <c r="G17" s="96" t="str">
        <f>IF(E17&lt;&gt;"",IF(E17=I17,"○","×"),"")</f>
        <v/>
      </c>
      <c r="I17" s="92">
        <v>50</v>
      </c>
    </row>
    <row r="18" spans="3:9">
      <c r="C18" t="s">
        <v>143</v>
      </c>
      <c r="D18" t="s">
        <v>144</v>
      </c>
      <c r="E18" s="47"/>
      <c r="G18" s="96" t="str">
        <f>IF(E18&lt;&gt;"",IF(E18=I18,"○","×"),"")</f>
        <v/>
      </c>
      <c r="I18" s="92">
        <v>50</v>
      </c>
    </row>
    <row r="19" spans="3:9">
      <c r="C19" t="s">
        <v>136</v>
      </c>
      <c r="D19" t="s">
        <v>145</v>
      </c>
      <c r="E19" s="47"/>
      <c r="G19" s="96" t="str">
        <f>IF(E19&lt;&gt;"",IF(E19=I19,"○","×"),"")</f>
        <v/>
      </c>
      <c r="I19" s="92">
        <v>45</v>
      </c>
    </row>
    <row r="20" spans="3:9">
      <c r="C20" t="s">
        <v>138</v>
      </c>
      <c r="D20" t="s">
        <v>137</v>
      </c>
      <c r="E20" s="47"/>
      <c r="G20" s="96" t="str">
        <f>IF(E20&lt;&gt;"",IF(E20=I20,"○","×"),"")</f>
        <v/>
      </c>
      <c r="I20" s="92">
        <v>45</v>
      </c>
    </row>
    <row r="21" spans="3:9" ht="6" customHeight="1">
      <c r="I21" s="94"/>
    </row>
    <row r="22" spans="3:9">
      <c r="D22" s="63" t="s">
        <v>150</v>
      </c>
      <c r="E22" s="47"/>
      <c r="G22" s="96" t="str">
        <f>IF(E22&lt;&gt;"",IF(E22=I22,"○","×"),"")</f>
        <v/>
      </c>
      <c r="I22" s="92">
        <f>MAX(I17:I20)</f>
        <v>50</v>
      </c>
    </row>
  </sheetData>
  <phoneticPr fontId="2"/>
  <pageMargins left="0.7" right="0.7" top="0.75" bottom="0.75" header="0.51200000000000001" footer="0.51200000000000001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Y35"/>
  <sheetViews>
    <sheetView workbookViewId="0"/>
  </sheetViews>
  <sheetFormatPr baseColWidth="12" defaultColWidth="7.625" defaultRowHeight="18" x14ac:dyDescent="0"/>
  <cols>
    <col min="1" max="2" width="2.875" customWidth="1"/>
    <col min="3" max="3" width="6.125" customWidth="1"/>
    <col min="4" max="4" width="7.625" customWidth="1"/>
    <col min="5" max="5" width="2.625" customWidth="1"/>
    <col min="6" max="6" width="7.625" customWidth="1"/>
    <col min="7" max="7" width="2.625" customWidth="1"/>
    <col min="8" max="8" width="7.625" customWidth="1"/>
    <col min="9" max="9" width="2.625" customWidth="1"/>
    <col min="10" max="10" width="2.375" customWidth="1"/>
    <col min="11" max="11" width="6.125" customWidth="1"/>
    <col min="12" max="12" width="2.125" customWidth="1"/>
    <col min="13" max="15" width="6.125" customWidth="1"/>
    <col min="16" max="16" width="6.125" style="80" customWidth="1"/>
    <col min="17" max="17" width="6.125" customWidth="1"/>
    <col min="18" max="20" width="7.375" customWidth="1"/>
    <col min="21" max="21" width="6.125" customWidth="1"/>
    <col min="22" max="22" width="2.25" customWidth="1"/>
    <col min="23" max="23" width="7.625" customWidth="1"/>
    <col min="25" max="25" width="6.125" customWidth="1"/>
  </cols>
  <sheetData>
    <row r="2" spans="3:25">
      <c r="D2" s="84" t="s">
        <v>211</v>
      </c>
    </row>
    <row r="3" spans="3:25">
      <c r="C3" t="s">
        <v>2</v>
      </c>
      <c r="M3" s="62" t="s">
        <v>119</v>
      </c>
      <c r="Q3" s="84" t="s">
        <v>211</v>
      </c>
      <c r="X3" s="62" t="s">
        <v>119</v>
      </c>
    </row>
    <row r="4" spans="3:25">
      <c r="C4" t="s">
        <v>97</v>
      </c>
      <c r="R4" s="103" t="s">
        <v>99</v>
      </c>
      <c r="S4" s="103"/>
      <c r="T4" s="103"/>
    </row>
    <row r="5" spans="3:25" ht="36">
      <c r="D5" t="s">
        <v>107</v>
      </c>
      <c r="F5" t="s">
        <v>7</v>
      </c>
      <c r="H5" t="s">
        <v>26</v>
      </c>
      <c r="M5" s="44" t="s">
        <v>120</v>
      </c>
      <c r="N5" s="44" t="s">
        <v>121</v>
      </c>
      <c r="O5" s="44" t="s">
        <v>122</v>
      </c>
      <c r="P5" s="81"/>
      <c r="Q5" t="s">
        <v>98</v>
      </c>
      <c r="R5" t="s">
        <v>3</v>
      </c>
      <c r="S5" t="s">
        <v>4</v>
      </c>
      <c r="T5" t="s">
        <v>5</v>
      </c>
      <c r="U5" s="85" t="s">
        <v>214</v>
      </c>
      <c r="W5" s="85" t="s">
        <v>106</v>
      </c>
      <c r="X5" s="85" t="s">
        <v>213</v>
      </c>
    </row>
    <row r="6" spans="3:25">
      <c r="D6" t="s">
        <v>8</v>
      </c>
      <c r="E6" s="1"/>
      <c r="F6" t="s">
        <v>108</v>
      </c>
      <c r="G6" s="1"/>
      <c r="H6" t="s">
        <v>108</v>
      </c>
      <c r="I6" s="1"/>
      <c r="J6" s="1"/>
      <c r="M6" s="44" t="s">
        <v>9</v>
      </c>
      <c r="N6" s="44" t="s">
        <v>10</v>
      </c>
      <c r="O6" s="44" t="s">
        <v>11</v>
      </c>
      <c r="P6" s="81"/>
      <c r="Q6" s="44" t="s">
        <v>12</v>
      </c>
      <c r="R6" s="44" t="s">
        <v>13</v>
      </c>
      <c r="S6" s="44" t="s">
        <v>14</v>
      </c>
      <c r="T6" s="44" t="s">
        <v>15</v>
      </c>
      <c r="U6" s="44" t="s">
        <v>16</v>
      </c>
      <c r="W6" s="1" t="s">
        <v>17</v>
      </c>
      <c r="X6" s="1" t="s">
        <v>100</v>
      </c>
      <c r="Y6" s="1"/>
    </row>
    <row r="7" spans="3:25">
      <c r="D7" s="87">
        <f>K7*Q7/W7/U7</f>
        <v>1.4636363636363636</v>
      </c>
      <c r="E7" t="s">
        <v>109</v>
      </c>
      <c r="F7" s="87">
        <f>-K7*Q7/U7/LN(1-W7)</f>
        <v>1.3815732220283961</v>
      </c>
      <c r="G7" t="s">
        <v>109</v>
      </c>
      <c r="H7" s="87">
        <f>-K7*Q7/(U7*LN(1-W7)+4*X7*Q7)</f>
        <v>1.4306810642039813</v>
      </c>
      <c r="I7" t="s">
        <v>109</v>
      </c>
      <c r="K7">
        <v>0.161</v>
      </c>
      <c r="M7" s="68">
        <v>10</v>
      </c>
      <c r="N7" s="68">
        <v>15</v>
      </c>
      <c r="O7" s="68">
        <v>3</v>
      </c>
      <c r="P7" s="82"/>
      <c r="Q7" s="79">
        <f>M7*N7*O7</f>
        <v>450</v>
      </c>
      <c r="R7" s="79">
        <f>M7*N7</f>
        <v>150</v>
      </c>
      <c r="S7" s="79">
        <f>M7*O7</f>
        <v>30</v>
      </c>
      <c r="T7" s="79">
        <f>N7*O7</f>
        <v>45</v>
      </c>
      <c r="U7" s="79">
        <f>SUM(R7:T7)*2</f>
        <v>450</v>
      </c>
      <c r="W7" s="83">
        <f>((R9+R10)*R7+(R11+R12)*S7+R13*T7*2)/U7</f>
        <v>0.11</v>
      </c>
      <c r="X7" s="69">
        <v>1E-3</v>
      </c>
    </row>
    <row r="8" spans="3:25">
      <c r="O8" s="75" t="s">
        <v>212</v>
      </c>
      <c r="R8" s="62" t="s">
        <v>151</v>
      </c>
    </row>
    <row r="9" spans="3:25">
      <c r="Q9" t="s">
        <v>111</v>
      </c>
      <c r="R9" s="69">
        <v>0.1</v>
      </c>
    </row>
    <row r="10" spans="3:25">
      <c r="Q10" t="s">
        <v>112</v>
      </c>
      <c r="R10" s="69">
        <v>0.1</v>
      </c>
    </row>
    <row r="11" spans="3:25">
      <c r="Q11" t="s">
        <v>113</v>
      </c>
      <c r="R11" s="69">
        <v>0.05</v>
      </c>
    </row>
    <row r="12" spans="3:25">
      <c r="Q12" t="s">
        <v>114</v>
      </c>
      <c r="R12" s="69">
        <v>0.3</v>
      </c>
    </row>
    <row r="13" spans="3:25">
      <c r="Q13" t="s">
        <v>115</v>
      </c>
      <c r="R13" s="69">
        <v>0.1</v>
      </c>
    </row>
    <row r="15" spans="3:25">
      <c r="C15" t="s">
        <v>110</v>
      </c>
      <c r="M15" s="62" t="s">
        <v>119</v>
      </c>
      <c r="R15" s="103" t="s">
        <v>99</v>
      </c>
      <c r="S15" s="103"/>
      <c r="T15" s="103"/>
      <c r="X15" s="62" t="s">
        <v>119</v>
      </c>
    </row>
    <row r="16" spans="3:25" ht="36">
      <c r="D16" t="s">
        <v>107</v>
      </c>
      <c r="F16" t="s">
        <v>7</v>
      </c>
      <c r="H16" t="s">
        <v>26</v>
      </c>
      <c r="Q16" t="s">
        <v>98</v>
      </c>
      <c r="R16" t="s">
        <v>3</v>
      </c>
      <c r="S16" t="s">
        <v>4</v>
      </c>
      <c r="T16" t="s">
        <v>5</v>
      </c>
      <c r="U16" s="85" t="s">
        <v>214</v>
      </c>
      <c r="W16" s="85" t="s">
        <v>106</v>
      </c>
      <c r="X16" s="85" t="s">
        <v>213</v>
      </c>
    </row>
    <row r="17" spans="3:25">
      <c r="D17" t="s">
        <v>8</v>
      </c>
      <c r="E17" s="1"/>
      <c r="F17" t="s">
        <v>108</v>
      </c>
      <c r="G17" s="1"/>
      <c r="H17" t="s">
        <v>108</v>
      </c>
      <c r="I17" s="1"/>
      <c r="J17" s="1"/>
      <c r="M17" s="44" t="s">
        <v>9</v>
      </c>
      <c r="N17" s="44" t="s">
        <v>10</v>
      </c>
      <c r="O17" s="44" t="s">
        <v>11</v>
      </c>
      <c r="Q17" s="44" t="s">
        <v>12</v>
      </c>
      <c r="R17" s="44" t="s">
        <v>13</v>
      </c>
      <c r="S17" s="44" t="s">
        <v>14</v>
      </c>
      <c r="T17" s="44" t="s">
        <v>15</v>
      </c>
      <c r="U17" s="44" t="s">
        <v>16</v>
      </c>
      <c r="W17" s="1" t="s">
        <v>17</v>
      </c>
      <c r="X17" s="1" t="s">
        <v>100</v>
      </c>
      <c r="Y17" s="1"/>
    </row>
    <row r="18" spans="3:25">
      <c r="D18" s="87">
        <f>K18*Q18/W18/U18</f>
        <v>1.4636363636363636</v>
      </c>
      <c r="E18" t="s">
        <v>109</v>
      </c>
      <c r="F18" s="87">
        <f>-K18*Q18/U18/LN(1-W18)</f>
        <v>1.3815732220283961</v>
      </c>
      <c r="G18" t="s">
        <v>109</v>
      </c>
      <c r="H18" s="87">
        <f>-K18*Q18/(U18*LN(1-W18)+4*X18*Q18)</f>
        <v>1.4306810642039813</v>
      </c>
      <c r="I18" t="s">
        <v>109</v>
      </c>
      <c r="K18">
        <v>0.161</v>
      </c>
      <c r="M18" s="68">
        <v>10</v>
      </c>
      <c r="N18" s="68">
        <v>15</v>
      </c>
      <c r="O18" s="68">
        <v>3</v>
      </c>
      <c r="P18" s="82"/>
      <c r="Q18" s="79">
        <f>M18*N18*O18</f>
        <v>450</v>
      </c>
      <c r="R18" s="79">
        <f>M18*N18</f>
        <v>150</v>
      </c>
      <c r="S18" s="79">
        <f>M18*O18</f>
        <v>30</v>
      </c>
      <c r="T18" s="79">
        <f>N18*O18</f>
        <v>45</v>
      </c>
      <c r="U18" s="79">
        <f>SUM(R18:T18)*2</f>
        <v>450</v>
      </c>
      <c r="W18" s="83">
        <f>((R20+R21)*R18+(R22+R23)*S18+R24*T18*2)/U18</f>
        <v>0.11</v>
      </c>
      <c r="X18" s="69">
        <v>1E-3</v>
      </c>
    </row>
    <row r="19" spans="3:25">
      <c r="O19" s="75" t="s">
        <v>212</v>
      </c>
      <c r="R19" s="62" t="s">
        <v>151</v>
      </c>
    </row>
    <row r="20" spans="3:25">
      <c r="Q20" t="s">
        <v>111</v>
      </c>
      <c r="R20" s="69">
        <v>0.1</v>
      </c>
    </row>
    <row r="21" spans="3:25">
      <c r="Q21" t="s">
        <v>112</v>
      </c>
      <c r="R21" s="69">
        <v>0.1</v>
      </c>
    </row>
    <row r="22" spans="3:25">
      <c r="Q22" t="s">
        <v>113</v>
      </c>
      <c r="R22" s="69">
        <v>0.05</v>
      </c>
    </row>
    <row r="23" spans="3:25">
      <c r="Q23" t="s">
        <v>114</v>
      </c>
      <c r="R23" s="69">
        <v>0.3</v>
      </c>
    </row>
    <row r="24" spans="3:25">
      <c r="Q24" t="s">
        <v>115</v>
      </c>
      <c r="R24" s="69">
        <v>0.1</v>
      </c>
    </row>
    <row r="26" spans="3:25">
      <c r="C26" t="s">
        <v>110</v>
      </c>
      <c r="M26" s="62" t="s">
        <v>119</v>
      </c>
      <c r="R26" s="103" t="s">
        <v>99</v>
      </c>
      <c r="S26" s="103"/>
      <c r="T26" s="103"/>
      <c r="X26" s="62" t="s">
        <v>119</v>
      </c>
    </row>
    <row r="27" spans="3:25" ht="36">
      <c r="D27" t="s">
        <v>107</v>
      </c>
      <c r="F27" t="s">
        <v>7</v>
      </c>
      <c r="H27" t="s">
        <v>26</v>
      </c>
      <c r="Q27" t="s">
        <v>98</v>
      </c>
      <c r="R27" t="s">
        <v>3</v>
      </c>
      <c r="S27" t="s">
        <v>4</v>
      </c>
      <c r="T27" t="s">
        <v>5</v>
      </c>
      <c r="U27" s="85" t="s">
        <v>214</v>
      </c>
      <c r="W27" s="85" t="s">
        <v>106</v>
      </c>
      <c r="X27" s="85" t="s">
        <v>213</v>
      </c>
    </row>
    <row r="28" spans="3:25">
      <c r="D28" t="s">
        <v>8</v>
      </c>
      <c r="E28" s="1"/>
      <c r="F28" t="s">
        <v>108</v>
      </c>
      <c r="G28" s="1"/>
      <c r="H28" t="s">
        <v>108</v>
      </c>
      <c r="I28" s="1"/>
      <c r="J28" s="1"/>
      <c r="M28" s="44" t="s">
        <v>9</v>
      </c>
      <c r="N28" s="44" t="s">
        <v>10</v>
      </c>
      <c r="O28" s="44" t="s">
        <v>11</v>
      </c>
      <c r="Q28" s="44" t="s">
        <v>12</v>
      </c>
      <c r="R28" s="44" t="s">
        <v>13</v>
      </c>
      <c r="S28" s="44" t="s">
        <v>14</v>
      </c>
      <c r="T28" s="44" t="s">
        <v>15</v>
      </c>
      <c r="U28" s="44" t="s">
        <v>16</v>
      </c>
      <c r="W28" s="1" t="s">
        <v>17</v>
      </c>
      <c r="X28" s="1" t="s">
        <v>100</v>
      </c>
      <c r="Y28" s="1"/>
    </row>
    <row r="29" spans="3:25">
      <c r="D29" s="87">
        <f>K29*Q29/W29/U29</f>
        <v>1.4636363636363636</v>
      </c>
      <c r="E29" t="s">
        <v>109</v>
      </c>
      <c r="F29" s="87">
        <f>-K29*Q29/U29/LN(1-W29)</f>
        <v>1.3815732220283961</v>
      </c>
      <c r="G29" t="s">
        <v>109</v>
      </c>
      <c r="H29" s="87">
        <f>-K29*Q29/(U29*LN(1-W29)+4*X29*Q29)</f>
        <v>1.4306810642039813</v>
      </c>
      <c r="I29" t="s">
        <v>109</v>
      </c>
      <c r="K29">
        <v>0.161</v>
      </c>
      <c r="M29" s="68">
        <v>10</v>
      </c>
      <c r="N29" s="68">
        <v>15</v>
      </c>
      <c r="O29" s="68">
        <v>3</v>
      </c>
      <c r="P29" s="82"/>
      <c r="Q29" s="79">
        <f>M29*N29*O29</f>
        <v>450</v>
      </c>
      <c r="R29" s="79">
        <f>M29*N29</f>
        <v>150</v>
      </c>
      <c r="S29" s="79">
        <f>M29*O29</f>
        <v>30</v>
      </c>
      <c r="T29" s="79">
        <f>N29*O29</f>
        <v>45</v>
      </c>
      <c r="U29" s="79">
        <f>SUM(R29:T29)*2</f>
        <v>450</v>
      </c>
      <c r="W29" s="83">
        <f>((R31+R32)*R29+(R33+R34)*S29+R35*T29*2)/U29</f>
        <v>0.11</v>
      </c>
      <c r="X29" s="69">
        <v>1E-3</v>
      </c>
    </row>
    <row r="30" spans="3:25">
      <c r="O30" s="75" t="s">
        <v>212</v>
      </c>
      <c r="R30" s="62" t="s">
        <v>151</v>
      </c>
    </row>
    <row r="31" spans="3:25">
      <c r="Q31" t="s">
        <v>111</v>
      </c>
      <c r="R31" s="69">
        <v>0.1</v>
      </c>
    </row>
    <row r="32" spans="3:25">
      <c r="Q32" t="s">
        <v>112</v>
      </c>
      <c r="R32" s="69">
        <v>0.1</v>
      </c>
    </row>
    <row r="33" spans="17:18">
      <c r="Q33" t="s">
        <v>113</v>
      </c>
      <c r="R33" s="69">
        <v>0.05</v>
      </c>
    </row>
    <row r="34" spans="17:18">
      <c r="Q34" t="s">
        <v>114</v>
      </c>
      <c r="R34" s="69">
        <v>0.3</v>
      </c>
    </row>
    <row r="35" spans="17:18">
      <c r="Q35" t="s">
        <v>115</v>
      </c>
      <c r="R35" s="69">
        <v>0.1</v>
      </c>
    </row>
  </sheetData>
  <mergeCells count="3">
    <mergeCell ref="R4:T4"/>
    <mergeCell ref="R15:T15"/>
    <mergeCell ref="R26:T26"/>
  </mergeCells>
  <phoneticPr fontId="2"/>
  <pageMargins left="0.7" right="0.7" top="0.75" bottom="0.75" header="0.51200000000000001" footer="0.51200000000000001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T16"/>
  <sheetViews>
    <sheetView workbookViewId="0"/>
  </sheetViews>
  <sheetFormatPr baseColWidth="12" defaultColWidth="7.625" defaultRowHeight="18" x14ac:dyDescent="0"/>
  <cols>
    <col min="1" max="2" width="2.875" customWidth="1"/>
    <col min="3" max="9" width="6.125" customWidth="1"/>
    <col min="10" max="12" width="7.375" customWidth="1"/>
    <col min="13" max="13" width="6.125" customWidth="1"/>
    <col min="14" max="14" width="2.25" customWidth="1"/>
    <col min="15" max="15" width="7.625" customWidth="1"/>
    <col min="16" max="16" width="10.5" customWidth="1"/>
    <col min="17" max="17" width="7.625" customWidth="1"/>
    <col min="18" max="18" width="10.5" customWidth="1"/>
    <col min="19" max="19" width="7.625" customWidth="1"/>
  </cols>
  <sheetData>
    <row r="3" spans="3:20">
      <c r="C3" t="s">
        <v>102</v>
      </c>
    </row>
    <row r="4" spans="3:20">
      <c r="C4" t="s">
        <v>19</v>
      </c>
    </row>
    <row r="5" spans="3:20">
      <c r="J5" s="103" t="s">
        <v>99</v>
      </c>
      <c r="K5" s="103"/>
      <c r="L5" s="103"/>
    </row>
    <row r="6" spans="3:20">
      <c r="I6" t="s">
        <v>98</v>
      </c>
      <c r="J6" t="s">
        <v>3</v>
      </c>
      <c r="K6" t="s">
        <v>4</v>
      </c>
      <c r="L6" t="s">
        <v>5</v>
      </c>
      <c r="O6" t="s">
        <v>6</v>
      </c>
      <c r="Q6" t="s">
        <v>7</v>
      </c>
      <c r="S6" t="s">
        <v>26</v>
      </c>
    </row>
    <row r="7" spans="3:20">
      <c r="C7" t="s">
        <v>8</v>
      </c>
      <c r="E7" t="s">
        <v>9</v>
      </c>
      <c r="F7" t="s">
        <v>10</v>
      </c>
      <c r="G7" t="s">
        <v>11</v>
      </c>
      <c r="I7" t="s">
        <v>12</v>
      </c>
      <c r="J7" t="s">
        <v>13</v>
      </c>
      <c r="K7" t="s">
        <v>14</v>
      </c>
      <c r="L7" t="s">
        <v>15</v>
      </c>
      <c r="M7" t="s">
        <v>16</v>
      </c>
      <c r="O7" s="1" t="s">
        <v>17</v>
      </c>
      <c r="P7" s="1"/>
      <c r="Q7" s="1" t="s">
        <v>18</v>
      </c>
      <c r="R7" s="1"/>
      <c r="S7" s="1" t="s">
        <v>17</v>
      </c>
      <c r="T7" s="1" t="s">
        <v>100</v>
      </c>
    </row>
    <row r="8" spans="3:20">
      <c r="C8" s="68">
        <v>0.5</v>
      </c>
      <c r="D8">
        <v>0.161</v>
      </c>
      <c r="E8" s="70">
        <v>7</v>
      </c>
      <c r="F8" s="70">
        <v>7</v>
      </c>
      <c r="G8" s="70">
        <v>3</v>
      </c>
      <c r="H8" s="44" t="s">
        <v>152</v>
      </c>
      <c r="I8" s="71">
        <f>E8*F8*G8</f>
        <v>147</v>
      </c>
      <c r="J8" s="2">
        <f>E8*F8</f>
        <v>49</v>
      </c>
      <c r="K8" s="2">
        <f>E8*G8</f>
        <v>21</v>
      </c>
      <c r="L8" s="2">
        <f>F8*G8</f>
        <v>21</v>
      </c>
      <c r="M8" s="71">
        <f>SUM(J8:L8)*2</f>
        <v>182</v>
      </c>
      <c r="O8" s="86">
        <f>D8*I8/C8/M8</f>
        <v>0.26007692307692309</v>
      </c>
      <c r="Q8" s="86">
        <f>1-EXP(-D8*I8/C8/M8)</f>
        <v>0.22900772357572097</v>
      </c>
      <c r="R8" s="45"/>
      <c r="S8" s="86">
        <f>1-EXP(-(D8-4*T8*C8)*I8/(C8*M8))</f>
        <v>0.22651279735660024</v>
      </c>
      <c r="T8">
        <v>1E-3</v>
      </c>
    </row>
    <row r="9" spans="3:20">
      <c r="G9" s="75" t="s">
        <v>212</v>
      </c>
      <c r="O9" s="4" t="s">
        <v>20</v>
      </c>
      <c r="Q9" s="4" t="s">
        <v>21</v>
      </c>
      <c r="S9" s="4" t="s">
        <v>101</v>
      </c>
    </row>
    <row r="10" spans="3:20">
      <c r="C10" t="s">
        <v>22</v>
      </c>
      <c r="O10" s="4"/>
      <c r="Q10" s="4"/>
      <c r="S10" s="4"/>
    </row>
    <row r="11" spans="3:20">
      <c r="J11" s="103" t="s">
        <v>99</v>
      </c>
      <c r="K11" s="103"/>
      <c r="L11" s="103"/>
    </row>
    <row r="12" spans="3:20">
      <c r="I12" t="s">
        <v>98</v>
      </c>
      <c r="J12" t="s">
        <v>3</v>
      </c>
      <c r="K12" t="s">
        <v>4</v>
      </c>
      <c r="L12" t="s">
        <v>5</v>
      </c>
      <c r="O12" t="s">
        <v>6</v>
      </c>
      <c r="Q12" t="s">
        <v>7</v>
      </c>
      <c r="S12" t="s">
        <v>26</v>
      </c>
    </row>
    <row r="13" spans="3:20">
      <c r="C13" t="s">
        <v>8</v>
      </c>
      <c r="E13" t="s">
        <v>9</v>
      </c>
      <c r="F13" t="s">
        <v>10</v>
      </c>
      <c r="G13" t="s">
        <v>11</v>
      </c>
      <c r="I13" t="s">
        <v>12</v>
      </c>
      <c r="J13" t="s">
        <v>13</v>
      </c>
      <c r="K13" t="s">
        <v>14</v>
      </c>
      <c r="L13" t="s">
        <v>15</v>
      </c>
      <c r="M13" t="s">
        <v>103</v>
      </c>
      <c r="O13" s="1" t="s">
        <v>17</v>
      </c>
      <c r="P13" s="1"/>
      <c r="Q13" s="1" t="s">
        <v>17</v>
      </c>
      <c r="R13" s="1"/>
      <c r="S13" s="1" t="s">
        <v>17</v>
      </c>
      <c r="T13" s="1" t="s">
        <v>100</v>
      </c>
    </row>
    <row r="14" spans="3:20">
      <c r="C14" s="68">
        <v>2</v>
      </c>
      <c r="D14">
        <v>0.161</v>
      </c>
      <c r="E14" s="70">
        <v>20</v>
      </c>
      <c r="F14" s="70">
        <v>30</v>
      </c>
      <c r="G14" s="70">
        <v>5</v>
      </c>
      <c r="H14" s="44"/>
      <c r="I14" s="71">
        <f>E14*F14*G14</f>
        <v>3000</v>
      </c>
      <c r="J14" s="2">
        <f>E14*F14</f>
        <v>600</v>
      </c>
      <c r="K14" s="2">
        <f>E14*G14</f>
        <v>100</v>
      </c>
      <c r="L14" s="2">
        <f>F14*G14</f>
        <v>150</v>
      </c>
      <c r="M14" s="71">
        <f>J14*2+K14*2+L14*2</f>
        <v>1700</v>
      </c>
      <c r="O14" s="86">
        <f>D14*I14/C14/M14</f>
        <v>0.14205882352941177</v>
      </c>
      <c r="Q14" s="86">
        <f>1-EXP(-D14*I14/C14/M14)</f>
        <v>0.13242977855753968</v>
      </c>
      <c r="R14" s="45"/>
      <c r="S14" s="86">
        <f>1-EXP(-(D14-4*T14*C14)*I14/(C14*M14))</f>
        <v>0.12628408831196558</v>
      </c>
      <c r="T14">
        <v>1E-3</v>
      </c>
    </row>
    <row r="15" spans="3:20">
      <c r="C15" s="2"/>
      <c r="G15" s="75" t="s">
        <v>212</v>
      </c>
      <c r="J15" s="5" t="s">
        <v>23</v>
      </c>
      <c r="K15" s="5" t="s">
        <v>104</v>
      </c>
      <c r="L15" s="5" t="s">
        <v>23</v>
      </c>
      <c r="O15" s="4" t="s">
        <v>24</v>
      </c>
    </row>
    <row r="16" spans="3:20">
      <c r="J16" s="6"/>
      <c r="K16" s="6" t="s">
        <v>105</v>
      </c>
      <c r="L16" s="6"/>
      <c r="M16" s="6" t="s">
        <v>25</v>
      </c>
      <c r="N16" s="6"/>
    </row>
  </sheetData>
  <mergeCells count="2">
    <mergeCell ref="J5:L5"/>
    <mergeCell ref="J11:L11"/>
  </mergeCells>
  <phoneticPr fontId="2"/>
  <pageMargins left="0.7" right="0.7" top="0.75" bottom="0.75" header="0.51200000000000001" footer="0.51200000000000001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Y27"/>
  <sheetViews>
    <sheetView workbookViewId="0"/>
  </sheetViews>
  <sheetFormatPr baseColWidth="12" defaultColWidth="7.625" defaultRowHeight="18" x14ac:dyDescent="0"/>
  <cols>
    <col min="1" max="2" width="2.875" customWidth="1"/>
    <col min="3" max="3" width="6.125" customWidth="1"/>
    <col min="4" max="4" width="7.625" customWidth="1"/>
    <col min="5" max="5" width="2.625" customWidth="1"/>
    <col min="6" max="6" width="7.625" customWidth="1"/>
    <col min="7" max="7" width="2.625" customWidth="1"/>
    <col min="8" max="8" width="7.625" customWidth="1"/>
    <col min="9" max="9" width="2.625" customWidth="1"/>
    <col min="10" max="10" width="2.375" customWidth="1"/>
    <col min="11" max="11" width="6.125" customWidth="1"/>
    <col min="12" max="12" width="2.125" customWidth="1"/>
    <col min="13" max="15" width="6.125" customWidth="1"/>
    <col min="16" max="16" width="3.25" customWidth="1"/>
    <col min="17" max="17" width="6.125" customWidth="1"/>
    <col min="18" max="20" width="7.375" customWidth="1"/>
    <col min="21" max="21" width="6.125" customWidth="1"/>
    <col min="22" max="22" width="2.25" customWidth="1"/>
    <col min="23" max="23" width="10.125" customWidth="1"/>
    <col min="25" max="25" width="6.125" customWidth="1"/>
  </cols>
  <sheetData>
    <row r="3" spans="3:25">
      <c r="C3" t="s">
        <v>2</v>
      </c>
    </row>
    <row r="4" spans="3:25">
      <c r="C4" t="s">
        <v>215</v>
      </c>
    </row>
    <row r="6" spans="3:25">
      <c r="D6" t="s">
        <v>107</v>
      </c>
      <c r="F6" s="75" t="s">
        <v>7</v>
      </c>
      <c r="G6" s="75"/>
      <c r="H6" s="75" t="s">
        <v>26</v>
      </c>
      <c r="M6" s="44" t="s">
        <v>120</v>
      </c>
      <c r="N6" s="44" t="s">
        <v>121</v>
      </c>
      <c r="O6" s="44" t="s">
        <v>122</v>
      </c>
      <c r="P6" s="44"/>
      <c r="Q6" t="s">
        <v>98</v>
      </c>
      <c r="R6" t="s">
        <v>3</v>
      </c>
      <c r="S6" t="s">
        <v>4</v>
      </c>
      <c r="T6" t="s">
        <v>5</v>
      </c>
      <c r="W6" t="s">
        <v>106</v>
      </c>
    </row>
    <row r="7" spans="3:25">
      <c r="D7" s="44" t="s">
        <v>8</v>
      </c>
      <c r="E7" s="1"/>
      <c r="F7" s="90" t="s">
        <v>108</v>
      </c>
      <c r="G7" s="89"/>
      <c r="H7" s="90" t="s">
        <v>108</v>
      </c>
      <c r="I7" s="1"/>
      <c r="J7" s="1"/>
      <c r="M7" s="44" t="s">
        <v>9</v>
      </c>
      <c r="N7" s="44" t="s">
        <v>10</v>
      </c>
      <c r="O7" s="44" t="s">
        <v>11</v>
      </c>
      <c r="P7" s="44"/>
      <c r="Q7" s="44" t="s">
        <v>12</v>
      </c>
      <c r="R7" s="44" t="s">
        <v>13</v>
      </c>
      <c r="S7" s="44" t="s">
        <v>14</v>
      </c>
      <c r="T7" s="44" t="s">
        <v>15</v>
      </c>
      <c r="U7" s="44" t="s">
        <v>16</v>
      </c>
      <c r="W7" s="1" t="s">
        <v>17</v>
      </c>
      <c r="X7" s="1" t="s">
        <v>100</v>
      </c>
      <c r="Y7" s="1"/>
    </row>
    <row r="8" spans="3:25">
      <c r="D8" s="87" t="e">
        <f>K8*Q8/(W8*U8+X13)</f>
        <v>#DIV/0!</v>
      </c>
      <c r="E8" s="75" t="s">
        <v>109</v>
      </c>
      <c r="F8" s="87" t="e">
        <f>-K8*Q8/(U8*LN(1-(W8))-X13)</f>
        <v>#DIV/0!</v>
      </c>
      <c r="G8" s="75" t="s">
        <v>109</v>
      </c>
      <c r="H8" s="87" t="e">
        <f>-K8*Q8/(U8*LN(1-W8)+4*X8*Q8-X13)</f>
        <v>#DIV/0!</v>
      </c>
      <c r="I8" s="75" t="s">
        <v>109</v>
      </c>
      <c r="K8">
        <v>0.161</v>
      </c>
      <c r="M8" s="48"/>
      <c r="N8" s="48"/>
      <c r="O8" s="48"/>
      <c r="P8" s="88"/>
      <c r="Q8" s="79">
        <f>M8*N8*O8</f>
        <v>0</v>
      </c>
      <c r="R8" s="2">
        <f>M8*N8</f>
        <v>0</v>
      </c>
      <c r="S8" s="2">
        <f>M8*O8</f>
        <v>0</v>
      </c>
      <c r="T8" s="2">
        <f>N8*O8</f>
        <v>0</v>
      </c>
      <c r="U8" s="79">
        <f>SUM(R8:T8)*2</f>
        <v>0</v>
      </c>
      <c r="W8" s="83" t="e">
        <f>((R10+R11)*R8+(R12+R13)*S8+R14*T8*2)/U8</f>
        <v>#DIV/0!</v>
      </c>
      <c r="X8" s="49"/>
    </row>
    <row r="9" spans="3:25" ht="20">
      <c r="Q9" s="75" t="s">
        <v>217</v>
      </c>
      <c r="U9" s="75" t="s">
        <v>216</v>
      </c>
    </row>
    <row r="10" spans="3:25">
      <c r="Q10" t="s">
        <v>111</v>
      </c>
      <c r="R10" s="49"/>
      <c r="W10" t="s">
        <v>116</v>
      </c>
      <c r="X10" s="49"/>
    </row>
    <row r="11" spans="3:25">
      <c r="Q11" t="s">
        <v>112</v>
      </c>
      <c r="R11" s="49"/>
      <c r="W11" t="s">
        <v>117</v>
      </c>
      <c r="X11" s="49"/>
    </row>
    <row r="12" spans="3:25">
      <c r="Q12" t="s">
        <v>113</v>
      </c>
      <c r="R12" s="49"/>
    </row>
    <row r="13" spans="3:25">
      <c r="Q13" t="s">
        <v>114</v>
      </c>
      <c r="R13" s="49"/>
      <c r="W13" t="s">
        <v>118</v>
      </c>
      <c r="X13" s="78">
        <f>X10*X11</f>
        <v>0</v>
      </c>
    </row>
    <row r="14" spans="3:25">
      <c r="Q14" t="s">
        <v>115</v>
      </c>
      <c r="R14" s="49"/>
    </row>
    <row r="16" spans="3:25">
      <c r="C16" t="s">
        <v>218</v>
      </c>
    </row>
    <row r="18" spans="4:25">
      <c r="D18" t="s">
        <v>6</v>
      </c>
      <c r="F18" s="75" t="s">
        <v>7</v>
      </c>
      <c r="G18" s="75"/>
      <c r="H18" s="75" t="s">
        <v>26</v>
      </c>
      <c r="M18" s="44" t="s">
        <v>120</v>
      </c>
      <c r="N18" s="44" t="s">
        <v>121</v>
      </c>
      <c r="O18" s="44" t="s">
        <v>122</v>
      </c>
      <c r="P18" s="44"/>
      <c r="Q18" t="s">
        <v>98</v>
      </c>
      <c r="R18" t="s">
        <v>3</v>
      </c>
      <c r="S18" t="s">
        <v>4</v>
      </c>
      <c r="T18" t="s">
        <v>5</v>
      </c>
      <c r="W18" t="s">
        <v>106</v>
      </c>
    </row>
    <row r="19" spans="4:25">
      <c r="D19" s="44" t="s">
        <v>8</v>
      </c>
      <c r="E19" s="1"/>
      <c r="F19" s="90" t="s">
        <v>108</v>
      </c>
      <c r="G19" s="89"/>
      <c r="H19" s="90" t="s">
        <v>108</v>
      </c>
      <c r="I19" s="1"/>
      <c r="J19" s="1"/>
      <c r="M19" s="44" t="s">
        <v>9</v>
      </c>
      <c r="N19" s="44" t="s">
        <v>10</v>
      </c>
      <c r="O19" s="44" t="s">
        <v>11</v>
      </c>
      <c r="P19" s="44"/>
      <c r="Q19" s="44" t="s">
        <v>12</v>
      </c>
      <c r="R19" s="44" t="s">
        <v>13</v>
      </c>
      <c r="S19" s="44" t="s">
        <v>14</v>
      </c>
      <c r="T19" s="44" t="s">
        <v>15</v>
      </c>
      <c r="U19" s="44" t="s">
        <v>16</v>
      </c>
      <c r="W19" s="1" t="s">
        <v>17</v>
      </c>
      <c r="X19" s="1" t="s">
        <v>100</v>
      </c>
      <c r="Y19" s="1"/>
    </row>
    <row r="20" spans="4:25">
      <c r="D20" s="87" t="e">
        <f>K20*Q20/(W20*U20+X25)</f>
        <v>#DIV/0!</v>
      </c>
      <c r="E20" s="75" t="s">
        <v>109</v>
      </c>
      <c r="F20" s="87" t="e">
        <f>-K20*Q20/(U20*LN(1-(W20))-X25)</f>
        <v>#DIV/0!</v>
      </c>
      <c r="G20" s="75" t="s">
        <v>109</v>
      </c>
      <c r="H20" s="87" t="e">
        <f>-K20*Q20/(U20*LN(1-W20)+4*X20*Q20-X25)</f>
        <v>#DIV/0!</v>
      </c>
      <c r="I20" s="75" t="s">
        <v>109</v>
      </c>
      <c r="K20">
        <v>0.161</v>
      </c>
      <c r="M20" s="48"/>
      <c r="N20" s="48"/>
      <c r="O20" s="48"/>
      <c r="P20" s="88"/>
      <c r="Q20" s="79">
        <f>M20*N20*O20</f>
        <v>0</v>
      </c>
      <c r="R20" s="2">
        <f>M20*N20</f>
        <v>0</v>
      </c>
      <c r="S20" s="2">
        <f>M20*O20</f>
        <v>0</v>
      </c>
      <c r="T20" s="2">
        <f>N20*O20</f>
        <v>0</v>
      </c>
      <c r="U20" s="79">
        <f>SUM(R20:T20)*2</f>
        <v>0</v>
      </c>
      <c r="W20" s="83" t="e">
        <f>((R22+R23)*R20+(R24+R25)*S20+R26*T20*2)/U20</f>
        <v>#DIV/0!</v>
      </c>
      <c r="X20" s="49"/>
    </row>
    <row r="21" spans="4:25" ht="20">
      <c r="Q21" s="75" t="s">
        <v>217</v>
      </c>
      <c r="U21" s="75" t="s">
        <v>216</v>
      </c>
    </row>
    <row r="22" spans="4:25">
      <c r="Q22" t="s">
        <v>111</v>
      </c>
      <c r="R22" s="49"/>
      <c r="W22" t="s">
        <v>116</v>
      </c>
      <c r="X22" s="49"/>
    </row>
    <row r="23" spans="4:25">
      <c r="Q23" t="s">
        <v>112</v>
      </c>
      <c r="R23" s="49"/>
      <c r="W23" t="s">
        <v>117</v>
      </c>
      <c r="X23" s="49"/>
    </row>
    <row r="24" spans="4:25">
      <c r="Q24" t="s">
        <v>113</v>
      </c>
      <c r="R24" s="49"/>
    </row>
    <row r="25" spans="4:25">
      <c r="Q25" t="s">
        <v>114</v>
      </c>
      <c r="R25" s="49"/>
      <c r="W25" t="s">
        <v>118</v>
      </c>
      <c r="X25" s="78">
        <f>X22*X23</f>
        <v>0</v>
      </c>
    </row>
    <row r="26" spans="4:25">
      <c r="D26" s="75" t="s">
        <v>223</v>
      </c>
      <c r="Q26" t="s">
        <v>115</v>
      </c>
      <c r="R26" s="49"/>
    </row>
    <row r="27" spans="4:25">
      <c r="D27" s="87" t="e">
        <f>D8-D20</f>
        <v>#DIV/0!</v>
      </c>
      <c r="E27" s="75" t="s">
        <v>109</v>
      </c>
    </row>
  </sheetData>
  <phoneticPr fontId="2"/>
  <pageMargins left="0.7" right="0.7" top="0.75" bottom="0.75" header="0.51200000000000001" footer="0.51200000000000001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17"/>
  <sheetViews>
    <sheetView workbookViewId="0"/>
  </sheetViews>
  <sheetFormatPr baseColWidth="12" defaultColWidth="7.625" defaultRowHeight="18" x14ac:dyDescent="0"/>
  <cols>
    <col min="1" max="1" width="13.25" customWidth="1"/>
    <col min="2" max="2" width="6.125" customWidth="1"/>
    <col min="3" max="3" width="10.25" customWidth="1"/>
    <col min="4" max="5" width="6.125" customWidth="1"/>
    <col min="6" max="6" width="9.875" customWidth="1"/>
    <col min="7" max="7" width="6.125" customWidth="1"/>
    <col min="8" max="8" width="9.875" customWidth="1"/>
    <col min="9" max="9" width="6.125" customWidth="1"/>
    <col min="10" max="10" width="9.875" customWidth="1"/>
    <col min="11" max="15" width="6.125" customWidth="1"/>
  </cols>
  <sheetData>
    <row r="3" spans="3:11">
      <c r="C3" t="s">
        <v>87</v>
      </c>
    </row>
    <row r="4" spans="3:11">
      <c r="C4" t="s">
        <v>97</v>
      </c>
    </row>
    <row r="5" spans="3:11">
      <c r="C5" t="s">
        <v>90</v>
      </c>
      <c r="F5" t="s">
        <v>89</v>
      </c>
      <c r="H5" t="s">
        <v>92</v>
      </c>
      <c r="J5" t="s">
        <v>93</v>
      </c>
    </row>
    <row r="6" spans="3:11">
      <c r="C6" s="91">
        <f>10*LOG10(C8)</f>
        <v>4.7712125471966242</v>
      </c>
      <c r="D6" t="s">
        <v>91</v>
      </c>
      <c r="E6" s="44" t="s">
        <v>1</v>
      </c>
      <c r="F6" s="47"/>
      <c r="G6" t="s">
        <v>91</v>
      </c>
      <c r="H6" s="47"/>
      <c r="I6" t="s">
        <v>91</v>
      </c>
      <c r="J6" s="47"/>
      <c r="K6" t="s">
        <v>91</v>
      </c>
    </row>
    <row r="7" spans="3:11">
      <c r="E7" s="44"/>
      <c r="F7" s="44" t="s">
        <v>94</v>
      </c>
      <c r="H7" s="44" t="s">
        <v>94</v>
      </c>
      <c r="J7" s="44" t="s">
        <v>94</v>
      </c>
    </row>
    <row r="8" spans="3:11">
      <c r="C8" s="72">
        <f>SUM(F8,H8,J8)</f>
        <v>3</v>
      </c>
      <c r="E8" s="44" t="s">
        <v>95</v>
      </c>
      <c r="F8" s="43">
        <f>10^(F6/10)</f>
        <v>1</v>
      </c>
      <c r="G8" s="44" t="s">
        <v>96</v>
      </c>
      <c r="H8" s="43">
        <f>10^(H6/10)</f>
        <v>1</v>
      </c>
      <c r="I8" s="44" t="s">
        <v>96</v>
      </c>
      <c r="J8" s="43">
        <f>10^(J6/10)</f>
        <v>1</v>
      </c>
    </row>
    <row r="9" spans="3:11">
      <c r="C9" s="46"/>
    </row>
    <row r="10" spans="3:11">
      <c r="C10" s="46"/>
    </row>
    <row r="11" spans="3:11">
      <c r="C11" s="46" t="s">
        <v>219</v>
      </c>
    </row>
    <row r="12" spans="3:11">
      <c r="C12" s="46" t="s">
        <v>90</v>
      </c>
      <c r="F12" t="s">
        <v>89</v>
      </c>
      <c r="H12" t="s">
        <v>92</v>
      </c>
    </row>
    <row r="13" spans="3:11">
      <c r="C13" s="91">
        <f>10*LOG10(C15)</f>
        <v>3.0102999566398121</v>
      </c>
      <c r="D13" t="s">
        <v>91</v>
      </c>
      <c r="E13" s="44" t="s">
        <v>1</v>
      </c>
      <c r="F13" s="47"/>
      <c r="G13" t="s">
        <v>91</v>
      </c>
      <c r="H13" s="47"/>
      <c r="I13" t="s">
        <v>91</v>
      </c>
    </row>
    <row r="14" spans="3:11">
      <c r="C14" s="46"/>
      <c r="E14" s="44"/>
      <c r="F14" s="44" t="s">
        <v>94</v>
      </c>
      <c r="H14" s="44" t="s">
        <v>94</v>
      </c>
      <c r="J14" s="44"/>
    </row>
    <row r="15" spans="3:11">
      <c r="C15" s="72">
        <f>SUM(F15,H15)</f>
        <v>2</v>
      </c>
      <c r="E15" s="44" t="s">
        <v>1</v>
      </c>
      <c r="F15" s="43">
        <f>10^(F13/10)</f>
        <v>1</v>
      </c>
      <c r="G15" s="44" t="s">
        <v>96</v>
      </c>
      <c r="H15" s="43">
        <f>10^(H13/10)</f>
        <v>1</v>
      </c>
      <c r="I15" s="44"/>
      <c r="J15" s="43"/>
    </row>
    <row r="16" spans="3:11">
      <c r="C16" s="46"/>
    </row>
    <row r="17" spans="3:3">
      <c r="C17" s="75" t="s">
        <v>232</v>
      </c>
    </row>
  </sheetData>
  <phoneticPr fontId="2"/>
  <pageMargins left="0.7" right="0.7" top="0.75" bottom="0.75" header="0.51200000000000001" footer="0.51200000000000001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9"/>
  <sheetViews>
    <sheetView workbookViewId="0"/>
  </sheetViews>
  <sheetFormatPr baseColWidth="12" defaultColWidth="6.75" defaultRowHeight="14" x14ac:dyDescent="0"/>
  <cols>
    <col min="1" max="2" width="6.75" style="39" customWidth="1"/>
    <col min="3" max="8" width="8" style="39" customWidth="1"/>
    <col min="9" max="16384" width="6.75" style="39"/>
  </cols>
  <sheetData>
    <row r="2" spans="3:8">
      <c r="C2" s="66" t="s">
        <v>31</v>
      </c>
      <c r="D2" s="66" t="s">
        <v>32</v>
      </c>
      <c r="E2" s="67" t="s">
        <v>47</v>
      </c>
      <c r="F2" s="66" t="s">
        <v>34</v>
      </c>
      <c r="G2" s="66" t="s">
        <v>86</v>
      </c>
      <c r="H2" s="32" t="s">
        <v>226</v>
      </c>
    </row>
    <row r="3" spans="3:8">
      <c r="C3" s="39">
        <v>0.01</v>
      </c>
      <c r="D3" s="38"/>
      <c r="E3" s="40">
        <f>5-9.1*LN(H3+(H3^2+1)^0.5)</f>
        <v>4.0267737646762951</v>
      </c>
      <c r="F3" s="40">
        <f t="shared" ref="F3:F9" si="0">5+9.1*LN(H3+(H3^2+1)^0.5)</f>
        <v>5.9732262353237049</v>
      </c>
      <c r="G3" s="40"/>
      <c r="H3" s="41">
        <f t="shared" ref="H3:H10" si="1">C3^0.485</f>
        <v>0.10715193052376068</v>
      </c>
    </row>
    <row r="4" spans="3:8">
      <c r="C4" s="39">
        <v>0.1</v>
      </c>
      <c r="D4" s="40"/>
      <c r="E4" s="40">
        <f>5-9.1*LN(H4+(H4^2+1)^0.5)</f>
        <v>2.0719844965168139</v>
      </c>
      <c r="F4" s="40">
        <f t="shared" si="0"/>
        <v>7.9280155034831861</v>
      </c>
      <c r="G4" s="40"/>
      <c r="H4" s="41">
        <f t="shared" si="1"/>
        <v>0.32734069487883827</v>
      </c>
    </row>
    <row r="5" spans="3:8">
      <c r="C5" s="39">
        <v>0.2</v>
      </c>
      <c r="D5" s="40"/>
      <c r="E5" s="40">
        <f>5-9.1*LN(H5+(H5^2+1)^0.5)</f>
        <v>0.96448986382518331</v>
      </c>
      <c r="F5" s="40">
        <f t="shared" si="0"/>
        <v>9.0355101361748176</v>
      </c>
      <c r="G5" s="40"/>
      <c r="H5" s="41">
        <f t="shared" si="1"/>
        <v>0.45814140978653167</v>
      </c>
    </row>
    <row r="6" spans="3:8">
      <c r="C6" s="42">
        <v>0.32200000000000001</v>
      </c>
      <c r="D6" s="40">
        <v>0</v>
      </c>
      <c r="E6" s="40">
        <f>5-9.1*LN(H6+(H6^2+1)^0.5)</f>
        <v>2.6683174248596231E-3</v>
      </c>
      <c r="F6" s="40">
        <f t="shared" si="0"/>
        <v>9.9973316825751404</v>
      </c>
      <c r="G6" s="40"/>
      <c r="H6" s="41">
        <f t="shared" si="1"/>
        <v>0.5771784369987335</v>
      </c>
    </row>
    <row r="7" spans="3:8">
      <c r="C7" s="39">
        <v>0.4</v>
      </c>
      <c r="D7" s="40">
        <v>0</v>
      </c>
      <c r="E7" s="40"/>
      <c r="F7" s="40">
        <f t="shared" si="0"/>
        <v>10.494926900948068</v>
      </c>
      <c r="G7" s="40"/>
      <c r="H7" s="41">
        <f t="shared" si="1"/>
        <v>0.64120824158108625</v>
      </c>
    </row>
    <row r="8" spans="3:8">
      <c r="C8" s="39">
        <v>0.6</v>
      </c>
      <c r="D8" s="40">
        <v>0</v>
      </c>
      <c r="E8" s="40"/>
      <c r="F8" s="40">
        <f t="shared" si="0"/>
        <v>11.528448620987543</v>
      </c>
      <c r="G8" s="40"/>
      <c r="H8" s="41">
        <f t="shared" si="1"/>
        <v>0.78055472394422953</v>
      </c>
    </row>
    <row r="9" spans="3:8">
      <c r="C9" s="39">
        <v>0.8</v>
      </c>
      <c r="D9" s="40">
        <v>0</v>
      </c>
      <c r="E9" s="40"/>
      <c r="F9" s="40">
        <f t="shared" si="0"/>
        <v>12.343267437561778</v>
      </c>
      <c r="G9" s="40"/>
      <c r="H9" s="41">
        <f t="shared" si="1"/>
        <v>0.89742599182003813</v>
      </c>
    </row>
    <row r="10" spans="3:8">
      <c r="C10" s="39">
        <v>1</v>
      </c>
      <c r="D10" s="40">
        <v>0</v>
      </c>
      <c r="E10" s="40"/>
      <c r="F10" s="40">
        <f>5+9.1*LN(H10+(H10^2+1)^0.5)</f>
        <v>13.020499641877841</v>
      </c>
      <c r="G10" s="40">
        <f t="shared" ref="G10:G15" si="2">10*LOG10(C10)+13</f>
        <v>13</v>
      </c>
      <c r="H10" s="41">
        <f t="shared" si="1"/>
        <v>1</v>
      </c>
    </row>
    <row r="11" spans="3:8">
      <c r="C11" s="39">
        <v>2</v>
      </c>
      <c r="D11" s="40">
        <v>0</v>
      </c>
      <c r="E11" s="40"/>
      <c r="F11" s="40"/>
      <c r="G11" s="40">
        <f t="shared" si="2"/>
        <v>16.010299956639813</v>
      </c>
    </row>
    <row r="12" spans="3:8">
      <c r="C12" s="39">
        <v>4</v>
      </c>
      <c r="D12" s="40">
        <v>0</v>
      </c>
      <c r="E12" s="40"/>
      <c r="F12" s="40"/>
      <c r="G12" s="40">
        <f t="shared" si="2"/>
        <v>19.020599913279625</v>
      </c>
    </row>
    <row r="13" spans="3:8">
      <c r="C13" s="39">
        <v>6</v>
      </c>
      <c r="D13" s="40">
        <v>0</v>
      </c>
      <c r="E13" s="40"/>
      <c r="F13" s="40"/>
      <c r="G13" s="40">
        <f t="shared" si="2"/>
        <v>20.781512503836439</v>
      </c>
    </row>
    <row r="14" spans="3:8">
      <c r="C14" s="39">
        <v>8</v>
      </c>
      <c r="D14" s="40">
        <v>0</v>
      </c>
      <c r="E14" s="40"/>
      <c r="F14" s="40"/>
      <c r="G14" s="40">
        <f t="shared" si="2"/>
        <v>22.030899869919438</v>
      </c>
    </row>
    <row r="15" spans="3:8">
      <c r="C15" s="39">
        <v>10</v>
      </c>
      <c r="D15" s="40">
        <v>0</v>
      </c>
      <c r="G15" s="40">
        <f t="shared" si="2"/>
        <v>23</v>
      </c>
    </row>
    <row r="19" spans="4:8">
      <c r="D19" s="40"/>
      <c r="E19" s="40"/>
      <c r="F19" s="40"/>
      <c r="G19" s="40"/>
      <c r="H19" s="41"/>
    </row>
  </sheetData>
  <phoneticPr fontId="2"/>
  <pageMargins left="0.7" right="0.7" top="0.75" bottom="0.75" header="0.51200000000000001" footer="0.51200000000000001"/>
  <pageSetup paperSize="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/>
  </sheetViews>
  <sheetFormatPr baseColWidth="12" defaultColWidth="6.75" defaultRowHeight="14" x14ac:dyDescent="0"/>
  <cols>
    <col min="1" max="1" width="10.625" style="8" customWidth="1"/>
    <col min="2" max="3" width="6.75" style="8" customWidth="1"/>
    <col min="4" max="9" width="6.875" style="8" customWidth="1"/>
    <col min="10" max="10" width="2" style="8" customWidth="1"/>
    <col min="11" max="15" width="6.625" style="8" customWidth="1"/>
    <col min="16" max="16384" width="6.75" style="8"/>
  </cols>
  <sheetData>
    <row r="1" spans="2:16">
      <c r="B1" s="7" t="s">
        <v>27</v>
      </c>
      <c r="D1" s="8" t="s">
        <v>28</v>
      </c>
    </row>
    <row r="2" spans="2:16">
      <c r="D2" s="9">
        <v>63</v>
      </c>
      <c r="E2" s="9">
        <v>125</v>
      </c>
      <c r="F2" s="9">
        <v>250</v>
      </c>
      <c r="G2" s="9">
        <v>500</v>
      </c>
      <c r="H2" s="9">
        <v>1000</v>
      </c>
      <c r="I2" s="9">
        <v>2000</v>
      </c>
      <c r="K2" s="97" t="s">
        <v>239</v>
      </c>
    </row>
    <row r="3" spans="2:16">
      <c r="D3" s="8" t="s">
        <v>238</v>
      </c>
    </row>
    <row r="4" spans="2:16">
      <c r="C4" s="8" t="s">
        <v>30</v>
      </c>
      <c r="D4" s="10">
        <f t="shared" ref="D4:I4" si="0">344/D2</f>
        <v>5.4603174603174605</v>
      </c>
      <c r="E4" s="10">
        <f t="shared" si="0"/>
        <v>2.7519999999999998</v>
      </c>
      <c r="F4" s="10">
        <f t="shared" si="0"/>
        <v>1.3759999999999999</v>
      </c>
      <c r="G4" s="10">
        <f t="shared" si="0"/>
        <v>0.68799999999999994</v>
      </c>
      <c r="H4" s="10">
        <f t="shared" si="0"/>
        <v>0.34399999999999997</v>
      </c>
      <c r="I4" s="10">
        <f t="shared" si="0"/>
        <v>0.17199999999999999</v>
      </c>
      <c r="K4" s="11" t="s">
        <v>31</v>
      </c>
      <c r="L4" s="11" t="s">
        <v>32</v>
      </c>
      <c r="M4" s="12" t="s">
        <v>33</v>
      </c>
      <c r="N4" s="11" t="s">
        <v>34</v>
      </c>
      <c r="O4" s="11" t="s">
        <v>35</v>
      </c>
      <c r="P4" s="11" t="s">
        <v>36</v>
      </c>
    </row>
    <row r="5" spans="2:16">
      <c r="C5" s="8">
        <v>-2</v>
      </c>
      <c r="D5" s="13">
        <f>2*$C5/D$4</f>
        <v>-0.73255813953488369</v>
      </c>
      <c r="E5" s="13">
        <f t="shared" ref="D5:I20" si="1">2*$C5/E$4</f>
        <v>-1.4534883720930234</v>
      </c>
      <c r="F5" s="13">
        <f t="shared" si="1"/>
        <v>-2.9069767441860468</v>
      </c>
      <c r="G5" s="13">
        <f t="shared" si="1"/>
        <v>-5.8139534883720936</v>
      </c>
      <c r="H5" s="13">
        <f t="shared" si="1"/>
        <v>-11.627906976744187</v>
      </c>
      <c r="I5" s="13">
        <f t="shared" si="1"/>
        <v>-23.255813953488374</v>
      </c>
      <c r="K5" s="8">
        <v>-0.6</v>
      </c>
      <c r="L5" s="14">
        <v>0</v>
      </c>
      <c r="M5" s="14"/>
      <c r="N5" s="14"/>
      <c r="O5" s="14"/>
      <c r="P5" s="15"/>
    </row>
    <row r="6" spans="2:16">
      <c r="C6" s="8">
        <v>-1</v>
      </c>
      <c r="D6" s="13">
        <f t="shared" si="1"/>
        <v>-0.36627906976744184</v>
      </c>
      <c r="E6" s="13">
        <f t="shared" si="1"/>
        <v>-0.7267441860465117</v>
      </c>
      <c r="F6" s="13">
        <f t="shared" si="1"/>
        <v>-1.4534883720930234</v>
      </c>
      <c r="G6" s="13">
        <f t="shared" si="1"/>
        <v>-2.9069767441860468</v>
      </c>
      <c r="H6" s="13">
        <f t="shared" si="1"/>
        <v>-5.8139534883720936</v>
      </c>
      <c r="I6" s="13">
        <f t="shared" si="1"/>
        <v>-11.627906976744187</v>
      </c>
      <c r="K6" s="8">
        <v>-0.4</v>
      </c>
      <c r="L6" s="14">
        <v>0</v>
      </c>
      <c r="M6" s="14"/>
      <c r="N6" s="14"/>
      <c r="O6" s="14"/>
      <c r="P6" s="15"/>
    </row>
    <row r="7" spans="2:16">
      <c r="C7" s="8">
        <v>-0.5</v>
      </c>
      <c r="D7" s="13">
        <f t="shared" si="1"/>
        <v>-0.18313953488372092</v>
      </c>
      <c r="E7" s="13">
        <f t="shared" si="1"/>
        <v>-0.36337209302325585</v>
      </c>
      <c r="F7" s="13">
        <f t="shared" si="1"/>
        <v>-0.7267441860465117</v>
      </c>
      <c r="G7" s="13">
        <f t="shared" si="1"/>
        <v>-1.4534883720930234</v>
      </c>
      <c r="H7" s="13">
        <f t="shared" si="1"/>
        <v>-2.9069767441860468</v>
      </c>
      <c r="I7" s="13">
        <f t="shared" si="1"/>
        <v>-5.8139534883720936</v>
      </c>
      <c r="J7" s="15"/>
      <c r="K7" s="16">
        <v>-0.2</v>
      </c>
      <c r="L7" s="17"/>
      <c r="M7" s="17">
        <f>5-9.1*LN(P7+(P7^2+1)^0.5)</f>
        <v>0.96448986382518331</v>
      </c>
      <c r="N7" s="17"/>
      <c r="O7" s="17"/>
      <c r="P7" s="15">
        <f>ABS(K7)^0.485</f>
        <v>0.45814140978653167</v>
      </c>
    </row>
    <row r="8" spans="2:16">
      <c r="C8" s="8">
        <v>0</v>
      </c>
      <c r="D8" s="13">
        <f t="shared" si="1"/>
        <v>0</v>
      </c>
      <c r="E8" s="13">
        <f t="shared" si="1"/>
        <v>0</v>
      </c>
      <c r="F8" s="13">
        <f t="shared" si="1"/>
        <v>0</v>
      </c>
      <c r="G8" s="13">
        <f t="shared" si="1"/>
        <v>0</v>
      </c>
      <c r="H8" s="13">
        <f t="shared" si="1"/>
        <v>0</v>
      </c>
      <c r="I8" s="13">
        <f t="shared" si="1"/>
        <v>0</v>
      </c>
      <c r="J8" s="15"/>
      <c r="K8" s="16">
        <v>-0.1</v>
      </c>
      <c r="L8" s="17"/>
      <c r="M8" s="17">
        <f>5-9.1*LN(P8+(P8^2+1)^0.5)</f>
        <v>2.0719844965168139</v>
      </c>
      <c r="N8" s="17"/>
      <c r="O8" s="17"/>
      <c r="P8" s="15">
        <f>ABS(K8)^0.485</f>
        <v>0.32734069487883827</v>
      </c>
    </row>
    <row r="9" spans="2:16">
      <c r="C9" s="8">
        <v>0.5</v>
      </c>
      <c r="D9" s="13">
        <f t="shared" si="1"/>
        <v>0.18313953488372092</v>
      </c>
      <c r="E9" s="18">
        <f t="shared" si="1"/>
        <v>0.36337209302325585</v>
      </c>
      <c r="F9" s="13">
        <f t="shared" si="1"/>
        <v>0.7267441860465117</v>
      </c>
      <c r="G9" s="13">
        <f t="shared" si="1"/>
        <v>1.4534883720930234</v>
      </c>
      <c r="H9" s="13">
        <f t="shared" si="1"/>
        <v>2.9069767441860468</v>
      </c>
      <c r="I9" s="19">
        <f t="shared" si="1"/>
        <v>5.8139534883720936</v>
      </c>
      <c r="J9" s="15"/>
      <c r="K9" s="16">
        <v>0</v>
      </c>
      <c r="L9" s="17"/>
      <c r="M9" s="17"/>
      <c r="N9" s="17">
        <f t="shared" ref="N9:N14" si="2">5+9.1*LN(P9+(P9^2+1)^0.5)</f>
        <v>5</v>
      </c>
      <c r="O9" s="17"/>
      <c r="P9" s="15">
        <f t="shared" ref="P9:P14" si="3">K9^0.485</f>
        <v>0</v>
      </c>
    </row>
    <row r="10" spans="2:16">
      <c r="C10" s="8">
        <v>1</v>
      </c>
      <c r="D10" s="18">
        <f t="shared" si="1"/>
        <v>0.36627906976744184</v>
      </c>
      <c r="E10" s="13">
        <f t="shared" si="1"/>
        <v>0.7267441860465117</v>
      </c>
      <c r="F10" s="13">
        <f t="shared" si="1"/>
        <v>1.4534883720930234</v>
      </c>
      <c r="G10" s="13">
        <f t="shared" si="1"/>
        <v>2.9069767441860468</v>
      </c>
      <c r="H10" s="19">
        <f t="shared" si="1"/>
        <v>5.8139534883720936</v>
      </c>
      <c r="I10" s="13">
        <f t="shared" si="1"/>
        <v>11.627906976744187</v>
      </c>
      <c r="J10" s="15"/>
      <c r="K10" s="16">
        <v>0.1</v>
      </c>
      <c r="L10" s="17"/>
      <c r="M10" s="17"/>
      <c r="N10" s="17">
        <f t="shared" si="2"/>
        <v>7.9280155034831861</v>
      </c>
      <c r="O10" s="17"/>
      <c r="P10" s="15">
        <f t="shared" si="3"/>
        <v>0.32734069487883827</v>
      </c>
    </row>
    <row r="11" spans="2:16">
      <c r="C11" s="8">
        <v>2</v>
      </c>
      <c r="D11" s="13">
        <f t="shared" si="1"/>
        <v>0.73255813953488369</v>
      </c>
      <c r="E11" s="13">
        <f t="shared" si="1"/>
        <v>1.4534883720930234</v>
      </c>
      <c r="F11" s="13">
        <f t="shared" si="1"/>
        <v>2.9069767441860468</v>
      </c>
      <c r="G11" s="19">
        <f t="shared" si="1"/>
        <v>5.8139534883720936</v>
      </c>
      <c r="H11" s="13">
        <f t="shared" si="1"/>
        <v>11.627906976744187</v>
      </c>
      <c r="I11" s="13">
        <f t="shared" si="1"/>
        <v>23.255813953488374</v>
      </c>
      <c r="J11" s="15"/>
      <c r="K11" s="16">
        <v>0.2</v>
      </c>
      <c r="L11" s="17"/>
      <c r="M11" s="17"/>
      <c r="N11" s="17">
        <f t="shared" si="2"/>
        <v>9.0355101361748176</v>
      </c>
      <c r="O11" s="17"/>
      <c r="P11" s="15">
        <f t="shared" si="3"/>
        <v>0.45814140978653167</v>
      </c>
    </row>
    <row r="12" spans="2:16">
      <c r="C12" s="8">
        <v>4</v>
      </c>
      <c r="D12" s="13">
        <f t="shared" si="1"/>
        <v>1.4651162790697674</v>
      </c>
      <c r="E12" s="13">
        <f t="shared" si="1"/>
        <v>2.9069767441860468</v>
      </c>
      <c r="F12" s="19">
        <f t="shared" si="1"/>
        <v>5.8139534883720936</v>
      </c>
      <c r="G12" s="13">
        <f t="shared" si="1"/>
        <v>11.627906976744187</v>
      </c>
      <c r="H12" s="13">
        <f t="shared" si="1"/>
        <v>23.255813953488374</v>
      </c>
      <c r="I12" s="20">
        <f t="shared" si="1"/>
        <v>46.511627906976749</v>
      </c>
      <c r="J12" s="15"/>
      <c r="K12" s="21">
        <v>0.4</v>
      </c>
      <c r="L12" s="22"/>
      <c r="M12" s="22"/>
      <c r="N12" s="22">
        <f t="shared" si="2"/>
        <v>10.494926900948068</v>
      </c>
      <c r="O12" s="22"/>
      <c r="P12" s="15">
        <f t="shared" si="3"/>
        <v>0.64120824158108625</v>
      </c>
    </row>
    <row r="13" spans="2:16">
      <c r="C13" s="8">
        <v>6</v>
      </c>
      <c r="D13" s="13">
        <f t="shared" si="1"/>
        <v>2.1976744186046511</v>
      </c>
      <c r="E13" s="13">
        <f t="shared" si="1"/>
        <v>4.3604651162790704</v>
      </c>
      <c r="F13" s="13">
        <f t="shared" si="1"/>
        <v>8.7209302325581408</v>
      </c>
      <c r="G13" s="13">
        <f t="shared" si="1"/>
        <v>17.441860465116282</v>
      </c>
      <c r="H13" s="13">
        <f t="shared" si="1"/>
        <v>34.883720930232563</v>
      </c>
      <c r="I13" s="13">
        <f t="shared" si="1"/>
        <v>69.767441860465127</v>
      </c>
      <c r="J13" s="15"/>
      <c r="K13" s="16">
        <v>0.6</v>
      </c>
      <c r="L13" s="17"/>
      <c r="M13" s="17"/>
      <c r="N13" s="17">
        <f t="shared" si="2"/>
        <v>11.528448620987543</v>
      </c>
      <c r="O13" s="17"/>
      <c r="P13" s="15">
        <f t="shared" si="3"/>
        <v>0.78055472394422953</v>
      </c>
    </row>
    <row r="14" spans="2:16">
      <c r="C14" s="8">
        <v>8</v>
      </c>
      <c r="D14" s="13">
        <f t="shared" si="1"/>
        <v>2.9302325581395348</v>
      </c>
      <c r="E14" s="19">
        <f t="shared" si="1"/>
        <v>5.8139534883720936</v>
      </c>
      <c r="F14" s="13">
        <f t="shared" si="1"/>
        <v>11.627906976744187</v>
      </c>
      <c r="G14" s="13">
        <f t="shared" si="1"/>
        <v>23.255813953488374</v>
      </c>
      <c r="H14" s="20">
        <f t="shared" si="1"/>
        <v>46.511627906976749</v>
      </c>
      <c r="I14" s="13">
        <f t="shared" si="1"/>
        <v>93.023255813953497</v>
      </c>
      <c r="J14" s="15"/>
      <c r="K14" s="16">
        <v>1</v>
      </c>
      <c r="L14" s="17"/>
      <c r="M14" s="17"/>
      <c r="N14" s="17">
        <f t="shared" si="2"/>
        <v>13.020499641877841</v>
      </c>
      <c r="O14" s="17">
        <f>10*LOG10(K14)+13</f>
        <v>13</v>
      </c>
      <c r="P14" s="15">
        <f t="shared" si="3"/>
        <v>1</v>
      </c>
    </row>
    <row r="15" spans="2:16">
      <c r="C15" s="8">
        <v>10</v>
      </c>
      <c r="D15" s="13">
        <f t="shared" si="1"/>
        <v>3.6627906976744184</v>
      </c>
      <c r="E15" s="13">
        <f t="shared" si="1"/>
        <v>7.2674418604651168</v>
      </c>
      <c r="F15" s="13">
        <f t="shared" si="1"/>
        <v>14.534883720930234</v>
      </c>
      <c r="G15" s="13">
        <f t="shared" si="1"/>
        <v>29.069767441860467</v>
      </c>
      <c r="H15" s="13">
        <f t="shared" si="1"/>
        <v>58.139534883720934</v>
      </c>
      <c r="I15" s="13">
        <f t="shared" si="1"/>
        <v>116.27906976744187</v>
      </c>
      <c r="J15" s="15"/>
      <c r="K15" s="16">
        <v>2</v>
      </c>
      <c r="L15" s="17"/>
      <c r="M15" s="17"/>
      <c r="N15" s="17"/>
      <c r="O15" s="17">
        <f>10*LOG10(K15)+13</f>
        <v>16.010299956639813</v>
      </c>
    </row>
    <row r="16" spans="2:16">
      <c r="C16" s="8">
        <v>15</v>
      </c>
      <c r="D16" s="19">
        <f t="shared" si="1"/>
        <v>5.4941860465116275</v>
      </c>
      <c r="E16" s="13">
        <f t="shared" si="1"/>
        <v>10.901162790697676</v>
      </c>
      <c r="F16" s="13">
        <f t="shared" si="1"/>
        <v>21.802325581395351</v>
      </c>
      <c r="G16" s="20">
        <f t="shared" si="1"/>
        <v>43.604651162790702</v>
      </c>
      <c r="H16" s="13">
        <f t="shared" si="1"/>
        <v>87.209302325581405</v>
      </c>
      <c r="I16" s="13">
        <f t="shared" si="1"/>
        <v>174.41860465116281</v>
      </c>
      <c r="J16" s="15"/>
      <c r="K16" s="23">
        <v>5</v>
      </c>
      <c r="L16" s="24"/>
      <c r="M16" s="24"/>
      <c r="N16" s="24"/>
      <c r="O16" s="24">
        <f>10*LOG10(K16)+13</f>
        <v>19.989700043360187</v>
      </c>
    </row>
    <row r="17" spans="1:17">
      <c r="C17" s="8">
        <v>20</v>
      </c>
      <c r="D17" s="13">
        <f t="shared" si="1"/>
        <v>7.3255813953488369</v>
      </c>
      <c r="E17" s="13">
        <f t="shared" si="1"/>
        <v>14.534883720930234</v>
      </c>
      <c r="F17" s="13">
        <f t="shared" si="1"/>
        <v>29.069767441860467</v>
      </c>
      <c r="G17" s="13">
        <f t="shared" si="1"/>
        <v>58.139534883720934</v>
      </c>
      <c r="H17" s="13">
        <f t="shared" si="1"/>
        <v>116.27906976744187</v>
      </c>
      <c r="I17" s="13">
        <f t="shared" si="1"/>
        <v>232.55813953488374</v>
      </c>
      <c r="J17" s="15"/>
      <c r="K17" s="8">
        <v>10</v>
      </c>
      <c r="O17" s="17">
        <f t="shared" ref="O17:O22" si="4">10*LOG10(K17)+13</f>
        <v>23</v>
      </c>
    </row>
    <row r="18" spans="1:17">
      <c r="C18" s="8">
        <v>30</v>
      </c>
      <c r="D18" s="13">
        <f t="shared" si="1"/>
        <v>10.988372093023255</v>
      </c>
      <c r="E18" s="13">
        <f t="shared" si="1"/>
        <v>21.802325581395351</v>
      </c>
      <c r="F18" s="20">
        <f t="shared" si="1"/>
        <v>43.604651162790702</v>
      </c>
      <c r="G18" s="13">
        <f>2*$C18/G$4</f>
        <v>87.209302325581405</v>
      </c>
      <c r="H18" s="13">
        <f t="shared" si="1"/>
        <v>174.41860465116281</v>
      </c>
      <c r="I18" s="13">
        <f t="shared" si="1"/>
        <v>348.83720930232562</v>
      </c>
      <c r="J18" s="25"/>
      <c r="K18" s="8">
        <v>20</v>
      </c>
      <c r="O18" s="17">
        <f t="shared" si="4"/>
        <v>26.010299956639813</v>
      </c>
    </row>
    <row r="19" spans="1:17">
      <c r="C19" s="8">
        <v>40</v>
      </c>
      <c r="D19" s="13">
        <f t="shared" si="1"/>
        <v>14.651162790697674</v>
      </c>
      <c r="E19" s="13">
        <f t="shared" si="1"/>
        <v>29.069767441860467</v>
      </c>
      <c r="F19" s="13">
        <f t="shared" si="1"/>
        <v>58.139534883720934</v>
      </c>
      <c r="G19" s="13">
        <f t="shared" si="1"/>
        <v>116.27906976744187</v>
      </c>
      <c r="H19" s="13">
        <f t="shared" si="1"/>
        <v>232.55813953488374</v>
      </c>
      <c r="I19" s="13">
        <f t="shared" si="1"/>
        <v>465.11627906976747</v>
      </c>
      <c r="J19" s="15"/>
      <c r="K19" s="26">
        <v>50</v>
      </c>
      <c r="L19" s="26"/>
      <c r="M19" s="26"/>
      <c r="N19" s="26"/>
      <c r="O19" s="27">
        <f t="shared" si="4"/>
        <v>29.989700043360187</v>
      </c>
    </row>
    <row r="20" spans="1:17">
      <c r="C20" s="8">
        <v>50</v>
      </c>
      <c r="D20" s="13">
        <f t="shared" si="1"/>
        <v>18.313953488372093</v>
      </c>
      <c r="E20" s="13">
        <f t="shared" si="1"/>
        <v>36.337209302325583</v>
      </c>
      <c r="F20" s="13">
        <f t="shared" si="1"/>
        <v>72.674418604651166</v>
      </c>
      <c r="G20" s="13">
        <f t="shared" si="1"/>
        <v>145.34883720930233</v>
      </c>
      <c r="H20" s="13">
        <f t="shared" si="1"/>
        <v>290.69767441860466</v>
      </c>
      <c r="I20" s="13">
        <f t="shared" si="1"/>
        <v>581.39534883720933</v>
      </c>
      <c r="J20" s="15"/>
      <c r="K20" s="8">
        <v>100</v>
      </c>
      <c r="O20" s="17">
        <f t="shared" si="4"/>
        <v>33</v>
      </c>
    </row>
    <row r="21" spans="1:17">
      <c r="C21" s="8">
        <v>60</v>
      </c>
      <c r="D21" s="13">
        <f t="shared" ref="D21:I21" si="5">2*$C21/D$4</f>
        <v>21.97674418604651</v>
      </c>
      <c r="E21" s="20">
        <f t="shared" si="5"/>
        <v>43.604651162790702</v>
      </c>
      <c r="F21" s="13">
        <f t="shared" si="5"/>
        <v>87.209302325581405</v>
      </c>
      <c r="G21" s="13">
        <f t="shared" si="5"/>
        <v>174.41860465116281</v>
      </c>
      <c r="H21" s="13">
        <f t="shared" si="5"/>
        <v>348.83720930232562</v>
      </c>
      <c r="I21" s="13">
        <f t="shared" si="5"/>
        <v>697.67441860465124</v>
      </c>
      <c r="J21" s="15"/>
      <c r="K21" s="8">
        <v>150</v>
      </c>
      <c r="O21" s="14">
        <f t="shared" si="4"/>
        <v>34.760912590556813</v>
      </c>
    </row>
    <row r="22" spans="1:17">
      <c r="J22" s="15"/>
      <c r="K22" s="8">
        <v>200</v>
      </c>
      <c r="O22" s="14">
        <f t="shared" si="4"/>
        <v>36.010299956639813</v>
      </c>
    </row>
    <row r="23" spans="1:17">
      <c r="B23" s="4" t="s">
        <v>37</v>
      </c>
    </row>
    <row r="24" spans="1:17">
      <c r="B24" s="28" t="s">
        <v>38</v>
      </c>
      <c r="C24" s="28" t="s">
        <v>39</v>
      </c>
      <c r="D24" s="28" t="s">
        <v>40</v>
      </c>
      <c r="E24" s="29" t="s">
        <v>41</v>
      </c>
      <c r="F24" s="29" t="s">
        <v>42</v>
      </c>
      <c r="G24" s="29" t="s">
        <v>30</v>
      </c>
      <c r="H24" s="29" t="s">
        <v>28</v>
      </c>
      <c r="I24" s="29" t="s">
        <v>29</v>
      </c>
      <c r="K24" s="29" t="s">
        <v>31</v>
      </c>
      <c r="L24" s="30" t="s">
        <v>32</v>
      </c>
      <c r="M24" s="31" t="s">
        <v>33</v>
      </c>
      <c r="N24" s="30" t="s">
        <v>34</v>
      </c>
      <c r="O24" s="30" t="s">
        <v>35</v>
      </c>
      <c r="P24" s="32" t="s">
        <v>226</v>
      </c>
    </row>
    <row r="25" spans="1:17">
      <c r="A25" s="33" t="s">
        <v>123</v>
      </c>
      <c r="B25" s="8">
        <v>4</v>
      </c>
      <c r="C25" s="8">
        <v>2</v>
      </c>
      <c r="D25" s="8">
        <v>1</v>
      </c>
      <c r="E25" s="14">
        <f>(B25^2+D25^2)^0.5</f>
        <v>4.1231056256176606</v>
      </c>
      <c r="F25" s="14">
        <f>(C25^2+D25^2)^0.5</f>
        <v>2.2360679774997898</v>
      </c>
      <c r="G25" s="14">
        <f>E25+F25-B25-C25</f>
        <v>0.35917360311745039</v>
      </c>
      <c r="H25" s="8">
        <v>125</v>
      </c>
      <c r="I25" s="8">
        <f>340/H25</f>
        <v>2.72</v>
      </c>
      <c r="K25" s="15">
        <f>2*G25/I25</f>
        <v>0.26409823758636058</v>
      </c>
      <c r="L25" s="14">
        <v>0</v>
      </c>
      <c r="M25" s="14">
        <f>5-9.1*LN(P25+(P25^2+1)^0.5)</f>
        <v>0.42438445140854331</v>
      </c>
      <c r="N25" s="34">
        <f>5+9.1*LN(P25+(P25^2+1)^0.5)</f>
        <v>9.5756155485914576</v>
      </c>
      <c r="O25" s="14">
        <f>10*LOG10(K25)+13</f>
        <v>7.2176550302793006</v>
      </c>
      <c r="P25" s="15">
        <f>K25^0.485</f>
        <v>0.52427152337009852</v>
      </c>
    </row>
    <row r="26" spans="1:17">
      <c r="A26" s="33"/>
      <c r="E26" s="14"/>
      <c r="F26" s="14"/>
      <c r="G26" s="14"/>
      <c r="H26" s="8">
        <v>250</v>
      </c>
      <c r="I26" s="8">
        <f>340/H26</f>
        <v>1.36</v>
      </c>
      <c r="K26" s="15">
        <f>2*G25/I26</f>
        <v>0.52819647517272117</v>
      </c>
      <c r="L26" s="14">
        <v>0</v>
      </c>
      <c r="M26" s="14">
        <f>5-9.1*LN(P26+(P26^2+1)^0.5)</f>
        <v>-1.1889732102165267</v>
      </c>
      <c r="N26" s="34">
        <f>5+9.1*LN(P26+(P26^2+1)^0.5)</f>
        <v>11.188973210216528</v>
      </c>
      <c r="O26" s="14">
        <f>10*LOG10(K26)+13</f>
        <v>10.227954986919112</v>
      </c>
      <c r="P26" s="15">
        <f>K26^0.485</f>
        <v>0.73376301384285136</v>
      </c>
    </row>
    <row r="27" spans="1:17">
      <c r="E27" s="14"/>
      <c r="F27" s="14"/>
      <c r="G27" s="14"/>
      <c r="H27" s="56">
        <v>500</v>
      </c>
      <c r="I27" s="56">
        <f>340/H27</f>
        <v>0.68</v>
      </c>
      <c r="J27" s="56"/>
      <c r="K27" s="57">
        <f>2*G25/I27</f>
        <v>1.0563929503454423</v>
      </c>
      <c r="L27" s="58">
        <v>0</v>
      </c>
      <c r="M27" s="58">
        <f>5-9.1*LN(P27+(P27^2+1)^0.5)</f>
        <v>-3.1928420202669994</v>
      </c>
      <c r="N27" s="58">
        <f>5+9.1*LN(P27+(P27^2+1)^0.5)</f>
        <v>13.192842020266999</v>
      </c>
      <c r="O27" s="59">
        <f>10*LOG10(K27)+13</f>
        <v>13.238254943558925</v>
      </c>
      <c r="P27" s="57">
        <f>K27^0.485</f>
        <v>1.0269643428709867</v>
      </c>
    </row>
    <row r="28" spans="1:17">
      <c r="E28" s="14"/>
      <c r="F28" s="14"/>
      <c r="G28" s="14"/>
      <c r="H28" s="8">
        <v>1000</v>
      </c>
      <c r="I28" s="8">
        <f>340/H28</f>
        <v>0.34</v>
      </c>
      <c r="K28" s="15">
        <f>2*G25/I28</f>
        <v>2.1127859006908847</v>
      </c>
      <c r="L28" s="14">
        <v>0</v>
      </c>
      <c r="M28" s="14">
        <f>5-9.1*LN(P28+(P28^2+1)^0.5)</f>
        <v>-5.5513299798485498</v>
      </c>
      <c r="N28" s="14">
        <f>5+9.1*LN(P28+(P28^2+1)^0.5)</f>
        <v>15.55132997984855</v>
      </c>
      <c r="O28" s="34">
        <f>10*LOG10(K28)+13</f>
        <v>16.248554900198734</v>
      </c>
      <c r="P28" s="15">
        <f>K28^0.485</f>
        <v>1.4373247787524914</v>
      </c>
    </row>
    <row r="29" spans="1:17">
      <c r="E29" s="14"/>
      <c r="F29" s="14"/>
      <c r="G29" s="14"/>
      <c r="H29" s="8">
        <v>2000</v>
      </c>
      <c r="I29" s="8">
        <f>340/H29</f>
        <v>0.17</v>
      </c>
      <c r="K29" s="15">
        <f>2*G25/I29</f>
        <v>4.2255718013817694</v>
      </c>
      <c r="L29" s="14">
        <v>0</v>
      </c>
      <c r="M29" s="14">
        <f>5-9.1*LN(P29+(P29^2+1)^0.5)</f>
        <v>-8.1844222622997744</v>
      </c>
      <c r="N29" s="14">
        <f>5+9.1*LN(P29+(P29^2+1)^0.5)</f>
        <v>18.184422262299776</v>
      </c>
      <c r="O29" s="34">
        <f>10*LOG10(K29)+13</f>
        <v>19.258854856838546</v>
      </c>
      <c r="P29" s="15">
        <f>K29^0.485</f>
        <v>2.0116594446117291</v>
      </c>
    </row>
    <row r="30" spans="1:17">
      <c r="E30" s="14"/>
      <c r="F30" s="14"/>
      <c r="G30" s="14"/>
    </row>
    <row r="31" spans="1:17">
      <c r="B31" s="28" t="s">
        <v>38</v>
      </c>
      <c r="C31" s="28" t="s">
        <v>39</v>
      </c>
      <c r="D31" s="28" t="s">
        <v>40</v>
      </c>
      <c r="E31" s="29" t="s">
        <v>41</v>
      </c>
      <c r="F31" s="29" t="s">
        <v>42</v>
      </c>
      <c r="G31" s="29" t="s">
        <v>30</v>
      </c>
      <c r="H31" s="29" t="s">
        <v>28</v>
      </c>
      <c r="I31" s="29" t="s">
        <v>29</v>
      </c>
      <c r="K31" s="29" t="s">
        <v>31</v>
      </c>
      <c r="L31" s="30" t="s">
        <v>32</v>
      </c>
      <c r="M31" s="31" t="s">
        <v>33</v>
      </c>
      <c r="N31" s="30" t="s">
        <v>34</v>
      </c>
      <c r="O31" s="30" t="s">
        <v>35</v>
      </c>
      <c r="P31" s="32" t="s">
        <v>226</v>
      </c>
    </row>
    <row r="32" spans="1:17">
      <c r="A32" s="33" t="s">
        <v>230</v>
      </c>
      <c r="E32" s="14"/>
      <c r="F32" s="14"/>
      <c r="G32" s="14">
        <v>0.2</v>
      </c>
      <c r="H32" s="99">
        <v>125</v>
      </c>
      <c r="I32" s="8">
        <f>340/H32</f>
        <v>2.72</v>
      </c>
      <c r="K32" s="15">
        <f>2*G32/I32</f>
        <v>0.14705882352941177</v>
      </c>
      <c r="L32" s="14">
        <v>0</v>
      </c>
      <c r="M32" s="14">
        <f>5-9.1*LN(P32+(P32^2+1)^0.5)</f>
        <v>1.4957609892967221</v>
      </c>
      <c r="N32" s="101">
        <f>5+9.1*LN(P32+(P32^2+1)^0.5)</f>
        <v>8.5042390107032784</v>
      </c>
      <c r="O32" s="14">
        <f>10*LOG10(K32)+13</f>
        <v>4.6749108729376374</v>
      </c>
      <c r="P32" s="15">
        <f>K32^0.485</f>
        <v>0.39466914727207147</v>
      </c>
      <c r="Q32" s="97" t="s">
        <v>227</v>
      </c>
    </row>
    <row r="33" spans="1:17">
      <c r="A33" s="33"/>
      <c r="E33" s="14"/>
      <c r="F33" s="14"/>
      <c r="G33" s="14"/>
      <c r="H33" s="8">
        <v>250</v>
      </c>
      <c r="I33" s="8">
        <f>340/H33</f>
        <v>1.36</v>
      </c>
      <c r="K33" s="15">
        <f>2*G32/I33</f>
        <v>0.29411764705882354</v>
      </c>
      <c r="L33" s="14">
        <v>0</v>
      </c>
      <c r="M33" s="14">
        <f>5-9.1*LN(P33+(P33^2+1)^0.5)</f>
        <v>0.19921326972814679</v>
      </c>
      <c r="N33" s="34">
        <f>5+9.1*LN(P33+(P33^2+1)^0.5)</f>
        <v>9.8007867302718523</v>
      </c>
      <c r="O33" s="14">
        <f>10*LOG10(K33)+13</f>
        <v>7.6852108295774482</v>
      </c>
      <c r="P33" s="15">
        <f>K33^0.485</f>
        <v>0.55237336010850002</v>
      </c>
    </row>
    <row r="34" spans="1:17">
      <c r="E34" s="14"/>
      <c r="F34" s="14"/>
      <c r="G34" s="14"/>
      <c r="H34" s="100">
        <v>500</v>
      </c>
      <c r="I34" s="56">
        <f>340/H34</f>
        <v>0.68</v>
      </c>
      <c r="J34" s="56"/>
      <c r="K34" s="57">
        <f>2*G32/I34</f>
        <v>0.58823529411764708</v>
      </c>
      <c r="L34" s="58">
        <v>0</v>
      </c>
      <c r="M34" s="58">
        <f>5-9.1*LN(P34+(P34^2+1)^0.5)</f>
        <v>-1.4748323038202882</v>
      </c>
      <c r="N34" s="58">
        <f>5+9.1*LN(P34+(P34^2+1)^0.5)</f>
        <v>11.474832303820289</v>
      </c>
      <c r="O34" s="101">
        <f>10*LOG10(K34)+13</f>
        <v>10.695510786217261</v>
      </c>
      <c r="P34" s="57">
        <f>K34^0.485</f>
        <v>0.7730939473391818</v>
      </c>
      <c r="Q34" s="97" t="s">
        <v>228</v>
      </c>
    </row>
    <row r="35" spans="1:17">
      <c r="E35" s="14"/>
      <c r="F35" s="14"/>
      <c r="G35" s="14"/>
      <c r="H35" s="8">
        <v>1000</v>
      </c>
      <c r="I35" s="8">
        <f>340/H35</f>
        <v>0.34</v>
      </c>
      <c r="K35" s="15">
        <f>2*G32/I35</f>
        <v>1.1764705882352942</v>
      </c>
      <c r="L35" s="14">
        <v>0</v>
      </c>
      <c r="M35" s="14">
        <f>5-9.1*LN(P35+(P35^2+1)^0.5)</f>
        <v>-3.5375481226044325</v>
      </c>
      <c r="N35" s="14">
        <f>5+9.1*LN(P35+(P35^2+1)^0.5)</f>
        <v>13.537548122604433</v>
      </c>
      <c r="O35" s="34">
        <f>10*LOG10(K35)+13</f>
        <v>13.705810742857073</v>
      </c>
      <c r="P35" s="15">
        <f>K35^0.485</f>
        <v>1.0820113614731155</v>
      </c>
    </row>
    <row r="36" spans="1:17">
      <c r="E36" s="14"/>
      <c r="F36" s="14"/>
      <c r="G36" s="14"/>
      <c r="H36" s="99">
        <v>2000</v>
      </c>
      <c r="I36" s="8">
        <f>340/H36</f>
        <v>0.17</v>
      </c>
      <c r="K36" s="15">
        <f>2*G32/I36</f>
        <v>2.3529411764705883</v>
      </c>
      <c r="L36" s="14">
        <v>0</v>
      </c>
      <c r="M36" s="14">
        <f>5-9.1*LN(P36+(P36^2+1)^0.5)</f>
        <v>-5.9446310491318517</v>
      </c>
      <c r="N36" s="14">
        <f>5+9.1*LN(P36+(P36^2+1)^0.5)</f>
        <v>15.944631049131852</v>
      </c>
      <c r="O36" s="101">
        <f>10*LOG10(K36)+13</f>
        <v>16.716110699496884</v>
      </c>
      <c r="P36" s="15">
        <f>K36^0.485</f>
        <v>1.5143678079311869</v>
      </c>
      <c r="Q36" s="97" t="s">
        <v>229</v>
      </c>
    </row>
    <row r="37" spans="1:17">
      <c r="J37" s="15"/>
      <c r="O37" s="14"/>
    </row>
    <row r="39" spans="1:17">
      <c r="B39" s="28" t="s">
        <v>38</v>
      </c>
      <c r="C39" s="28" t="s">
        <v>39</v>
      </c>
      <c r="D39" s="28" t="s">
        <v>40</v>
      </c>
      <c r="E39" s="29" t="s">
        <v>41</v>
      </c>
      <c r="F39" s="29" t="s">
        <v>42</v>
      </c>
      <c r="G39" s="29" t="s">
        <v>43</v>
      </c>
      <c r="H39" s="29" t="s">
        <v>44</v>
      </c>
      <c r="I39" s="29" t="s">
        <v>45</v>
      </c>
      <c r="K39" s="29" t="s">
        <v>46</v>
      </c>
      <c r="L39" s="30" t="s">
        <v>32</v>
      </c>
      <c r="M39" s="31" t="s">
        <v>47</v>
      </c>
      <c r="N39" s="30" t="s">
        <v>48</v>
      </c>
      <c r="O39" s="30" t="s">
        <v>49</v>
      </c>
      <c r="P39" s="32" t="s">
        <v>226</v>
      </c>
    </row>
    <row r="40" spans="1:17">
      <c r="A40" s="33" t="s">
        <v>50</v>
      </c>
      <c r="B40" s="8">
        <v>4</v>
      </c>
      <c r="C40" s="8">
        <v>2</v>
      </c>
      <c r="D40" s="8">
        <v>1</v>
      </c>
      <c r="E40" s="14">
        <f>(B40^2+D40^2)^0.5</f>
        <v>4.1231056256176606</v>
      </c>
      <c r="F40" s="14">
        <f>(C40^2+D40^2)^0.5</f>
        <v>2.2360679774997898</v>
      </c>
      <c r="G40" s="14">
        <f>E40+F40-B40-C40</f>
        <v>0.35917360311745039</v>
      </c>
      <c r="H40" s="8">
        <v>125</v>
      </c>
      <c r="I40" s="8">
        <f>340/H40</f>
        <v>2.72</v>
      </c>
      <c r="K40" s="15">
        <f>2*G40/I40</f>
        <v>0.26409823758636058</v>
      </c>
      <c r="L40" s="14">
        <v>0</v>
      </c>
      <c r="M40" s="14">
        <f>5-9.1*LN(P40+(P40^2+1)^0.5)</f>
        <v>0.42438445140854331</v>
      </c>
      <c r="N40" s="34">
        <f>5+9.1*LN(P40+(P40^2+1)^0.5)</f>
        <v>9.5756155485914576</v>
      </c>
      <c r="O40" s="14">
        <f>10*LOG10(K40)+13</f>
        <v>7.2176550302793006</v>
      </c>
      <c r="P40" s="15">
        <f>K40^0.485</f>
        <v>0.52427152337009852</v>
      </c>
    </row>
    <row r="41" spans="1:17">
      <c r="A41" s="33"/>
      <c r="E41" s="14"/>
      <c r="F41" s="14"/>
      <c r="G41" s="14"/>
      <c r="H41" s="8">
        <v>250</v>
      </c>
      <c r="I41" s="8">
        <f>340/H41</f>
        <v>1.36</v>
      </c>
      <c r="K41" s="15">
        <f>2*G40/I41</f>
        <v>0.52819647517272117</v>
      </c>
      <c r="L41" s="14">
        <v>0</v>
      </c>
      <c r="M41" s="14">
        <f>5-9.1*LN(P41+(P41^2+1)^0.5)</f>
        <v>-1.1889732102165267</v>
      </c>
      <c r="N41" s="34">
        <f>5+9.1*LN(P41+(P41^2+1)^0.5)</f>
        <v>11.188973210216528</v>
      </c>
      <c r="O41" s="14">
        <f>10*LOG10(K41)+13</f>
        <v>10.227954986919112</v>
      </c>
      <c r="P41" s="15">
        <f>K41^0.485</f>
        <v>0.73376301384285136</v>
      </c>
    </row>
    <row r="42" spans="1:17">
      <c r="E42" s="14"/>
      <c r="F42" s="14"/>
      <c r="G42" s="14"/>
      <c r="H42" s="50">
        <v>500</v>
      </c>
      <c r="I42" s="51">
        <f>340/H42</f>
        <v>0.68</v>
      </c>
      <c r="J42" s="51"/>
      <c r="K42" s="52">
        <f>2*G40/I42</f>
        <v>1.0563929503454423</v>
      </c>
      <c r="L42" s="53">
        <v>0</v>
      </c>
      <c r="M42" s="53">
        <f>5-9.1*LN(P42+(P42^2+1)^0.5)</f>
        <v>-3.1928420202669994</v>
      </c>
      <c r="N42" s="53">
        <f>5+9.1*LN(P42+(P42^2+1)^0.5)</f>
        <v>13.192842020266999</v>
      </c>
      <c r="O42" s="54">
        <f>10*LOG10(K42)+13</f>
        <v>13.238254943558925</v>
      </c>
      <c r="P42" s="55">
        <f>K42^0.485</f>
        <v>1.0269643428709867</v>
      </c>
    </row>
    <row r="43" spans="1:17">
      <c r="E43" s="14"/>
      <c r="F43" s="14"/>
      <c r="G43" s="14"/>
      <c r="H43" s="8">
        <v>1000</v>
      </c>
      <c r="I43" s="8">
        <f>340/H43</f>
        <v>0.34</v>
      </c>
      <c r="K43" s="15">
        <f>2*G40/I43</f>
        <v>2.1127859006908847</v>
      </c>
      <c r="L43" s="14">
        <v>0</v>
      </c>
      <c r="M43" s="14">
        <f>5-9.1*LN(P43+(P43^2+1)^0.5)</f>
        <v>-5.5513299798485498</v>
      </c>
      <c r="N43" s="14">
        <f>5+9.1*LN(P43+(P43^2+1)^0.5)</f>
        <v>15.55132997984855</v>
      </c>
      <c r="O43" s="34">
        <f>10*LOG10(K43)+13</f>
        <v>16.248554900198734</v>
      </c>
      <c r="P43" s="15">
        <f>K43^0.485</f>
        <v>1.4373247787524914</v>
      </c>
    </row>
    <row r="44" spans="1:17">
      <c r="E44" s="14"/>
      <c r="F44" s="14"/>
      <c r="G44" s="14"/>
      <c r="H44" s="8">
        <v>2000</v>
      </c>
      <c r="I44" s="8">
        <f>340/H44</f>
        <v>0.17</v>
      </c>
      <c r="K44" s="15">
        <f>2*G40/I44</f>
        <v>4.2255718013817694</v>
      </c>
      <c r="L44" s="14">
        <v>0</v>
      </c>
      <c r="M44" s="14">
        <f>5-9.1*LN(P44+(P44^2+1)^0.5)</f>
        <v>-8.1844222622997744</v>
      </c>
      <c r="N44" s="14">
        <f>5+9.1*LN(P44+(P44^2+1)^0.5)</f>
        <v>18.184422262299776</v>
      </c>
      <c r="O44" s="34">
        <f>10*LOG10(K44)+13</f>
        <v>19.258854856838546</v>
      </c>
      <c r="P44" s="15">
        <f>K44^0.485</f>
        <v>2.0116594446117291</v>
      </c>
    </row>
    <row r="45" spans="1:17">
      <c r="E45" s="14"/>
      <c r="F45" s="14"/>
      <c r="G45" s="14"/>
    </row>
    <row r="46" spans="1:17">
      <c r="A46" s="33" t="s">
        <v>51</v>
      </c>
      <c r="B46" s="8">
        <v>15</v>
      </c>
      <c r="C46" s="8">
        <v>15</v>
      </c>
      <c r="D46" s="8">
        <v>30</v>
      </c>
      <c r="E46" s="14">
        <f>(B46^2+D46^2)^0.5</f>
        <v>33.541019662496844</v>
      </c>
      <c r="F46" s="14">
        <f>(C46^2+D46^2)^0.5</f>
        <v>33.541019662496844</v>
      </c>
      <c r="G46" s="14">
        <f>E46+F46-B46-C46</f>
        <v>37.082039324993687</v>
      </c>
      <c r="H46" s="8">
        <v>125</v>
      </c>
      <c r="I46" s="8">
        <f>340/H46</f>
        <v>2.72</v>
      </c>
      <c r="K46" s="15">
        <f>2*G46/I46</f>
        <v>27.266205386024769</v>
      </c>
      <c r="L46" s="14">
        <v>0</v>
      </c>
      <c r="M46" s="14">
        <f>5-9.1*LN(P46+(P46^2+1)^0.5)</f>
        <v>-15.987883528124186</v>
      </c>
      <c r="N46" s="14">
        <f>5+9.1*LN(P46+(P46^2+1)^0.5)</f>
        <v>25.987883528124186</v>
      </c>
      <c r="O46" s="34">
        <f>10*LOG10(K46)+13</f>
        <v>27.356247017634473</v>
      </c>
      <c r="P46" s="15">
        <f>K46^0.485</f>
        <v>4.969102787441134</v>
      </c>
    </row>
    <row r="47" spans="1:17">
      <c r="A47" s="33"/>
      <c r="G47" s="14"/>
      <c r="H47" s="8">
        <v>250</v>
      </c>
      <c r="I47" s="8">
        <f>340/H47</f>
        <v>1.36</v>
      </c>
      <c r="K47" s="15">
        <f>2*G46/I47</f>
        <v>54.532410772049538</v>
      </c>
      <c r="L47" s="14">
        <v>0</v>
      </c>
      <c r="M47" s="14">
        <f>5-9.1*LN(P47+(P47^2+1)^0.5)</f>
        <v>-19.002997060926045</v>
      </c>
      <c r="N47" s="14">
        <f>5+9.1*LN(P47+(P47^2+1)^0.5)</f>
        <v>29.002997060926045</v>
      </c>
      <c r="O47" s="34">
        <f>10*LOG10(K47)+13</f>
        <v>30.366546974274286</v>
      </c>
      <c r="P47" s="15">
        <f>K47^0.485</f>
        <v>6.9546860259923005</v>
      </c>
    </row>
    <row r="48" spans="1:17">
      <c r="H48" s="50">
        <v>500</v>
      </c>
      <c r="I48" s="51">
        <f>340/H48</f>
        <v>0.68</v>
      </c>
      <c r="J48" s="51"/>
      <c r="K48" s="52">
        <f>2*G46/I48</f>
        <v>109.06482154409908</v>
      </c>
      <c r="L48" s="53">
        <v>0</v>
      </c>
      <c r="M48" s="53">
        <f>5-9.1*LN(P48+(P48^2+1)^0.5)</f>
        <v>-22.039444572889352</v>
      </c>
      <c r="N48" s="53">
        <f>5+9.1*LN(P48+(P48^2+1)^0.5)</f>
        <v>32.039444572889352</v>
      </c>
      <c r="O48" s="54">
        <f>10*LOG10(K48)+13</f>
        <v>33.376846930914098</v>
      </c>
      <c r="P48" s="55">
        <f>K48^0.485</f>
        <v>9.7336802616312461</v>
      </c>
    </row>
    <row r="49" spans="8:16">
      <c r="H49" s="8">
        <v>1000</v>
      </c>
      <c r="I49" s="8">
        <f>340/H49</f>
        <v>0.34</v>
      </c>
      <c r="K49" s="15">
        <f>2*G46/I49</f>
        <v>218.12964308819815</v>
      </c>
      <c r="L49" s="14">
        <v>0</v>
      </c>
      <c r="M49" s="14">
        <f>5-9.1*LN(P49+(P49^2+1)^0.5)</f>
        <v>-25.086965746371764</v>
      </c>
      <c r="N49" s="14">
        <f>5+9.1*LN(P49+(P49^2+1)^0.5)</f>
        <v>35.08696574637176</v>
      </c>
      <c r="O49" s="34">
        <f>10*LOG10(K49)+13</f>
        <v>36.387146887553911</v>
      </c>
      <c r="P49" s="15">
        <f>K49^0.485</f>
        <v>13.623121314402042</v>
      </c>
    </row>
    <row r="50" spans="8:16">
      <c r="H50" s="8">
        <v>2000</v>
      </c>
      <c r="I50" s="8">
        <f>340/H50</f>
        <v>0.17</v>
      </c>
      <c r="K50" s="15">
        <f>2*G46/I50</f>
        <v>436.2592861763963</v>
      </c>
      <c r="L50" s="14">
        <v>0</v>
      </c>
      <c r="M50" s="14">
        <f>5-9.1*LN(P50+(P50^2+1)^0.5)</f>
        <v>-28.140188742816228</v>
      </c>
      <c r="N50" s="14">
        <f>5+9.1*LN(P50+(P50^2+1)^0.5)</f>
        <v>38.140188742816228</v>
      </c>
      <c r="O50" s="34">
        <f>10*LOG10(K50)+13</f>
        <v>39.397446844193723</v>
      </c>
      <c r="P50" s="15">
        <f>K50^0.485</f>
        <v>19.066728036925745</v>
      </c>
    </row>
    <row r="52" spans="8:16">
      <c r="H52" s="8">
        <v>2000</v>
      </c>
      <c r="I52" s="8">
        <v>2000</v>
      </c>
      <c r="K52" s="15">
        <f>2*G49/I52</f>
        <v>0</v>
      </c>
      <c r="L52" s="14">
        <v>0</v>
      </c>
      <c r="M52" s="14">
        <f>5-9.1*LN(P52+(P52^2+1)^0.5)</f>
        <v>5</v>
      </c>
      <c r="N52" s="14">
        <f>5+9.1*LN(P52+(P52^2+1)^0.5)</f>
        <v>5</v>
      </c>
      <c r="O52" s="14" t="e">
        <f>10*LOG10(K52)+13</f>
        <v>#NUM!</v>
      </c>
      <c r="P52" s="15">
        <f>K52^0.485</f>
        <v>0</v>
      </c>
    </row>
    <row r="54" spans="8:16">
      <c r="M54" s="97" t="s">
        <v>233</v>
      </c>
    </row>
    <row r="55" spans="8:16">
      <c r="M55" s="97" t="s">
        <v>242</v>
      </c>
    </row>
    <row r="56" spans="8:16">
      <c r="M56" s="97" t="s">
        <v>231</v>
      </c>
    </row>
    <row r="58" spans="8:16">
      <c r="M58" s="97" t="s">
        <v>234</v>
      </c>
    </row>
    <row r="59" spans="8:16">
      <c r="M59" s="97" t="s">
        <v>235</v>
      </c>
    </row>
    <row r="60" spans="8:16">
      <c r="M60" s="97" t="s">
        <v>236</v>
      </c>
    </row>
    <row r="61" spans="8:16">
      <c r="M61" s="97" t="s">
        <v>237</v>
      </c>
    </row>
  </sheetData>
  <phoneticPr fontId="2"/>
  <pageMargins left="0.7" right="0.7" top="0.75" bottom="0.75" header="0.51200000000000001" footer="0.51200000000000001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27"/>
  <sheetViews>
    <sheetView workbookViewId="0"/>
  </sheetViews>
  <sheetFormatPr baseColWidth="12" defaultColWidth="6.75" defaultRowHeight="14" x14ac:dyDescent="0"/>
  <cols>
    <col min="1" max="2" width="3" style="8" customWidth="1"/>
    <col min="3" max="3" width="10.625" style="8" customWidth="1"/>
    <col min="4" max="5" width="6.75" style="8" customWidth="1"/>
    <col min="6" max="11" width="6.875" style="8" customWidth="1"/>
    <col min="12" max="12" width="2" style="8" customWidth="1"/>
    <col min="13" max="17" width="6.625" style="8" customWidth="1"/>
    <col min="18" max="16384" width="6.75" style="8"/>
  </cols>
  <sheetData>
    <row r="1" spans="3:18" ht="18">
      <c r="C1" t="s">
        <v>88</v>
      </c>
      <c r="L1" s="15"/>
      <c r="Q1" s="14"/>
    </row>
    <row r="2" spans="3:18">
      <c r="C2" s="8" t="s">
        <v>241</v>
      </c>
    </row>
    <row r="3" spans="3:18">
      <c r="D3" s="28" t="s">
        <v>38</v>
      </c>
      <c r="E3" s="28" t="s">
        <v>39</v>
      </c>
      <c r="F3" s="28" t="s">
        <v>40</v>
      </c>
      <c r="G3" s="29" t="s">
        <v>41</v>
      </c>
      <c r="H3" s="29" t="s">
        <v>42</v>
      </c>
      <c r="I3" s="29" t="s">
        <v>30</v>
      </c>
      <c r="J3" s="29" t="s">
        <v>28</v>
      </c>
      <c r="K3" s="29" t="s">
        <v>29</v>
      </c>
      <c r="M3" s="29" t="s">
        <v>31</v>
      </c>
      <c r="N3" s="30" t="s">
        <v>32</v>
      </c>
      <c r="O3" s="31" t="s">
        <v>33</v>
      </c>
      <c r="P3" s="30" t="s">
        <v>34</v>
      </c>
      <c r="Q3" s="30" t="s">
        <v>35</v>
      </c>
      <c r="R3" s="32" t="s">
        <v>226</v>
      </c>
    </row>
    <row r="4" spans="3:18">
      <c r="C4" s="33" t="s">
        <v>50</v>
      </c>
      <c r="D4" s="104"/>
      <c r="E4" s="104"/>
      <c r="F4" s="104"/>
      <c r="G4" s="14">
        <f>(D4^2+F4^2)^0.5</f>
        <v>0</v>
      </c>
      <c r="H4" s="14">
        <f>(E4^2+F4^2)^0.5</f>
        <v>0</v>
      </c>
      <c r="I4" s="14">
        <f>G4+H4-(D4+E4)</f>
        <v>0</v>
      </c>
      <c r="J4" s="50">
        <v>125</v>
      </c>
      <c r="K4" s="51">
        <f>340/J4</f>
        <v>2.72</v>
      </c>
      <c r="L4" s="51"/>
      <c r="M4" s="53">
        <f>2*I4/K4</f>
        <v>0</v>
      </c>
      <c r="N4" s="53">
        <v>0</v>
      </c>
      <c r="O4" s="53">
        <f>5-9.1*LN(R4+(R4^2+1)^0.5)</f>
        <v>5</v>
      </c>
      <c r="P4" s="54">
        <f>5+9.1*LN(R4+(R4^2+1)^0.5)</f>
        <v>5</v>
      </c>
      <c r="Q4" s="53" t="e">
        <f>10*LOG10(M4)+13</f>
        <v>#NUM!</v>
      </c>
      <c r="R4" s="55">
        <f>M4^0.485</f>
        <v>0</v>
      </c>
    </row>
    <row r="5" spans="3:18">
      <c r="C5" s="33"/>
      <c r="G5" s="98" t="s">
        <v>224</v>
      </c>
      <c r="H5" s="14"/>
      <c r="I5" s="14"/>
      <c r="J5" s="8">
        <v>250</v>
      </c>
      <c r="K5" s="8">
        <f>340/J5</f>
        <v>1.36</v>
      </c>
      <c r="M5" s="14">
        <f>2*I4/K5</f>
        <v>0</v>
      </c>
      <c r="N5" s="14">
        <v>0</v>
      </c>
      <c r="O5" s="14">
        <f>5-9.1*LN(R5+(R5^2+1)^0.5)</f>
        <v>5</v>
      </c>
      <c r="P5" s="34">
        <f>5+9.1*LN(R5+(R5^2+1)^0.5)</f>
        <v>5</v>
      </c>
      <c r="Q5" s="14" t="e">
        <f>10*LOG10(M5)+13</f>
        <v>#NUM!</v>
      </c>
      <c r="R5" s="15">
        <f>M5^0.485</f>
        <v>0</v>
      </c>
    </row>
    <row r="6" spans="3:18">
      <c r="G6" s="14"/>
      <c r="H6" s="14"/>
      <c r="I6" s="14"/>
      <c r="J6" s="56">
        <v>500</v>
      </c>
      <c r="K6" s="56">
        <f>340/J6</f>
        <v>0.68</v>
      </c>
      <c r="L6" s="56"/>
      <c r="M6" s="58">
        <f>2*I4/K6</f>
        <v>0</v>
      </c>
      <c r="N6" s="58">
        <v>0</v>
      </c>
      <c r="O6" s="58">
        <f>5-9.1*LN(R6+(R6^2+1)^0.5)</f>
        <v>5</v>
      </c>
      <c r="P6" s="58">
        <f>5+9.1*LN(R6+(R6^2+1)^0.5)</f>
        <v>5</v>
      </c>
      <c r="Q6" s="59" t="e">
        <f>10*LOG10(M6)+13</f>
        <v>#NUM!</v>
      </c>
      <c r="R6" s="57">
        <f>M6^0.485</f>
        <v>0</v>
      </c>
    </row>
    <row r="7" spans="3:18">
      <c r="G7" s="14"/>
      <c r="H7" s="14"/>
      <c r="I7" s="14"/>
      <c r="J7" s="8">
        <v>1000</v>
      </c>
      <c r="K7" s="8">
        <f>340/J7</f>
        <v>0.34</v>
      </c>
      <c r="M7" s="14">
        <f>2*I4/K7</f>
        <v>0</v>
      </c>
      <c r="N7" s="14">
        <v>0</v>
      </c>
      <c r="O7" s="14">
        <f>5-9.1*LN(R7+(R7^2+1)^0.5)</f>
        <v>5</v>
      </c>
      <c r="P7" s="14">
        <f>5+9.1*LN(R7+(R7^2+1)^0.5)</f>
        <v>5</v>
      </c>
      <c r="Q7" s="34" t="e">
        <f>10*LOG10(M7)+13</f>
        <v>#NUM!</v>
      </c>
      <c r="R7" s="15">
        <f>M7^0.485</f>
        <v>0</v>
      </c>
    </row>
    <row r="8" spans="3:18">
      <c r="G8" s="14"/>
      <c r="H8" s="14"/>
      <c r="I8" s="14"/>
      <c r="J8" s="50">
        <v>2000</v>
      </c>
      <c r="K8" s="51">
        <f>340/J8</f>
        <v>0.17</v>
      </c>
      <c r="L8" s="51"/>
      <c r="M8" s="53">
        <f>2*I4/K8</f>
        <v>0</v>
      </c>
      <c r="N8" s="53">
        <v>0</v>
      </c>
      <c r="O8" s="53">
        <f>5-9.1*LN(R8+(R8^2+1)^0.5)</f>
        <v>5</v>
      </c>
      <c r="P8" s="53">
        <f>5+9.1*LN(R8+(R8^2+1)^0.5)</f>
        <v>5</v>
      </c>
      <c r="Q8" s="54" t="e">
        <f>10*LOG10(M8)+13</f>
        <v>#NUM!</v>
      </c>
      <c r="R8" s="55">
        <f>M8^0.485</f>
        <v>0</v>
      </c>
    </row>
    <row r="9" spans="3:18">
      <c r="G9" s="14"/>
      <c r="H9" s="14"/>
      <c r="I9" s="14"/>
      <c r="M9" s="14"/>
    </row>
    <row r="10" spans="3:18">
      <c r="C10" s="33" t="s">
        <v>51</v>
      </c>
      <c r="D10" s="104"/>
      <c r="E10" s="104"/>
      <c r="F10" s="104"/>
      <c r="G10" s="14">
        <f>(D10^2+F10^2)^0.5</f>
        <v>0</v>
      </c>
      <c r="H10" s="14">
        <f>(E10^2+F10^2)^0.5</f>
        <v>0</v>
      </c>
      <c r="I10" s="14">
        <f>G10+H10-D10-E10</f>
        <v>0</v>
      </c>
      <c r="J10" s="50">
        <v>125</v>
      </c>
      <c r="K10" s="51">
        <f>340/J10</f>
        <v>2.72</v>
      </c>
      <c r="L10" s="51"/>
      <c r="M10" s="53">
        <f>2*I10/K10</f>
        <v>0</v>
      </c>
      <c r="N10" s="53">
        <v>0</v>
      </c>
      <c r="O10" s="53">
        <f>5-9.1*LN(R10+(R10^2+1)^0.5)</f>
        <v>5</v>
      </c>
      <c r="P10" s="53">
        <f>5+9.1*LN(R10+(R10^2+1)^0.5)</f>
        <v>5</v>
      </c>
      <c r="Q10" s="54" t="e">
        <f>10*LOG10(M10)+13</f>
        <v>#NUM!</v>
      </c>
      <c r="R10" s="55">
        <f>M10^0.485</f>
        <v>0</v>
      </c>
    </row>
    <row r="11" spans="3:18">
      <c r="C11" s="33"/>
      <c r="G11" s="98" t="s">
        <v>224</v>
      </c>
      <c r="I11" s="14"/>
      <c r="J11" s="8">
        <v>250</v>
      </c>
      <c r="K11" s="8">
        <f>340/J11</f>
        <v>1.36</v>
      </c>
      <c r="M11" s="14">
        <f>2*I10/K11</f>
        <v>0</v>
      </c>
      <c r="N11" s="14">
        <v>0</v>
      </c>
      <c r="O11" s="14">
        <f>5-9.1*LN(R11+(R11^2+1)^0.5)</f>
        <v>5</v>
      </c>
      <c r="P11" s="14">
        <f>5+9.1*LN(R11+(R11^2+1)^0.5)</f>
        <v>5</v>
      </c>
      <c r="Q11" s="34" t="e">
        <f>10*LOG10(M11)+13</f>
        <v>#NUM!</v>
      </c>
      <c r="R11" s="15">
        <f>M11^0.485</f>
        <v>0</v>
      </c>
    </row>
    <row r="12" spans="3:18">
      <c r="J12" s="56">
        <v>500</v>
      </c>
      <c r="K12" s="56">
        <f>340/J12</f>
        <v>0.68</v>
      </c>
      <c r="L12" s="56"/>
      <c r="M12" s="58">
        <f>2*I10/K12</f>
        <v>0</v>
      </c>
      <c r="N12" s="58">
        <v>0</v>
      </c>
      <c r="O12" s="58">
        <f>5-9.1*LN(R12+(R12^2+1)^0.5)</f>
        <v>5</v>
      </c>
      <c r="P12" s="58">
        <f>5+9.1*LN(R12+(R12^2+1)^0.5)</f>
        <v>5</v>
      </c>
      <c r="Q12" s="59" t="e">
        <f>10*LOG10(M12)+13</f>
        <v>#NUM!</v>
      </c>
      <c r="R12" s="57">
        <f>M12^0.485</f>
        <v>0</v>
      </c>
    </row>
    <row r="13" spans="3:18">
      <c r="J13" s="8">
        <v>1000</v>
      </c>
      <c r="K13" s="8">
        <f>340/J13</f>
        <v>0.34</v>
      </c>
      <c r="M13" s="14">
        <f>2*I10/K13</f>
        <v>0</v>
      </c>
      <c r="N13" s="14">
        <v>0</v>
      </c>
      <c r="O13" s="14">
        <f>5-9.1*LN(R13+(R13^2+1)^0.5)</f>
        <v>5</v>
      </c>
      <c r="P13" s="14">
        <f>5+9.1*LN(R13+(R13^2+1)^0.5)</f>
        <v>5</v>
      </c>
      <c r="Q13" s="34" t="e">
        <f>10*LOG10(M13)+13</f>
        <v>#NUM!</v>
      </c>
      <c r="R13" s="15">
        <f>M13^0.485</f>
        <v>0</v>
      </c>
    </row>
    <row r="14" spans="3:18">
      <c r="J14" s="50">
        <v>2000</v>
      </c>
      <c r="K14" s="51">
        <f>340/J14</f>
        <v>0.17</v>
      </c>
      <c r="L14" s="51"/>
      <c r="M14" s="53">
        <f>2*I10/K14</f>
        <v>0</v>
      </c>
      <c r="N14" s="53">
        <v>0</v>
      </c>
      <c r="O14" s="53">
        <f>5-9.1*LN(R14+(R14^2+1)^0.5)</f>
        <v>5</v>
      </c>
      <c r="P14" s="53">
        <f>5+9.1*LN(R14+(R14^2+1)^0.5)</f>
        <v>5</v>
      </c>
      <c r="Q14" s="54" t="e">
        <f>10*LOG10(M14)+13</f>
        <v>#NUM!</v>
      </c>
      <c r="R14" s="55">
        <f>M14^0.485</f>
        <v>0</v>
      </c>
    </row>
    <row r="16" spans="3:18" ht="18">
      <c r="O16" s="97" t="s">
        <v>240</v>
      </c>
    </row>
    <row r="17" spans="15:15">
      <c r="O17" s="98" t="s">
        <v>225</v>
      </c>
    </row>
    <row r="20" spans="15:15">
      <c r="O20" s="97" t="s">
        <v>233</v>
      </c>
    </row>
    <row r="21" spans="15:15">
      <c r="O21" s="97" t="s">
        <v>242</v>
      </c>
    </row>
    <row r="22" spans="15:15">
      <c r="O22" s="97" t="s">
        <v>231</v>
      </c>
    </row>
    <row r="24" spans="15:15">
      <c r="O24" s="97" t="s">
        <v>234</v>
      </c>
    </row>
    <row r="25" spans="15:15">
      <c r="O25" s="97" t="s">
        <v>235</v>
      </c>
    </row>
    <row r="26" spans="15:15">
      <c r="O26" s="97" t="s">
        <v>236</v>
      </c>
    </row>
    <row r="27" spans="15:15">
      <c r="O27" s="97" t="s">
        <v>237</v>
      </c>
    </row>
  </sheetData>
  <phoneticPr fontId="2"/>
  <conditionalFormatting sqref="O18">
    <cfRule type="expression" dxfId="0" priority="1">
      <formula>"R18C13&gt;=1"</formula>
    </cfRule>
  </conditionalFormatting>
  <pageMargins left="0.7" right="0.7" top="0.75" bottom="0.75" header="0.51200000000000001" footer="0.51200000000000001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/>
  </sheetViews>
  <sheetFormatPr baseColWidth="12" defaultRowHeight="14" x14ac:dyDescent="0"/>
  <cols>
    <col min="1" max="1" width="4.375" style="8" customWidth="1"/>
    <col min="2" max="5" width="6" style="8" customWidth="1"/>
    <col min="6" max="6" width="19.625" style="8" customWidth="1"/>
    <col min="7" max="7" width="13.625" style="8" customWidth="1"/>
    <col min="8" max="8" width="6.125" style="8" customWidth="1"/>
    <col min="9" max="9" width="11" style="8" customWidth="1"/>
    <col min="10" max="10" width="9.125" style="8" customWidth="1"/>
    <col min="11" max="11" width="3.125" style="8" customWidth="1"/>
    <col min="12" max="12" width="6.25" style="8" customWidth="1"/>
    <col min="13" max="13" width="6.375" style="8" customWidth="1"/>
    <col min="14" max="16384" width="12.625" style="8"/>
  </cols>
  <sheetData>
    <row r="1" spans="1:12">
      <c r="J1" s="61"/>
    </row>
    <row r="3" spans="1:12">
      <c r="B3" s="8" t="s">
        <v>222</v>
      </c>
    </row>
    <row r="4" spans="1:12">
      <c r="A4" s="102" t="s">
        <v>243</v>
      </c>
      <c r="B4" s="97" t="s">
        <v>52</v>
      </c>
      <c r="F4" s="97" t="s">
        <v>53</v>
      </c>
      <c r="G4" s="97"/>
      <c r="H4" s="97" t="s">
        <v>54</v>
      </c>
      <c r="I4" s="97"/>
      <c r="J4" s="97" t="s">
        <v>55</v>
      </c>
      <c r="K4" s="97"/>
      <c r="L4" s="97" t="s">
        <v>60</v>
      </c>
    </row>
    <row r="5" spans="1:12">
      <c r="B5" s="35" t="s">
        <v>56</v>
      </c>
      <c r="C5" s="35" t="s">
        <v>57</v>
      </c>
      <c r="D5" s="35" t="s">
        <v>58</v>
      </c>
      <c r="E5" s="35" t="s">
        <v>59</v>
      </c>
      <c r="I5" s="8" t="s">
        <v>60</v>
      </c>
      <c r="J5" s="8" t="s">
        <v>61</v>
      </c>
    </row>
    <row r="6" spans="1:12">
      <c r="B6" s="8">
        <v>3.6</v>
      </c>
      <c r="C6" s="8">
        <v>3.6</v>
      </c>
      <c r="D6" s="8">
        <v>2.4</v>
      </c>
      <c r="E6" s="8">
        <f>2*(B6+C6)*D6</f>
        <v>34.56</v>
      </c>
      <c r="F6" s="36" t="s">
        <v>62</v>
      </c>
      <c r="G6" s="8">
        <v>1E-3</v>
      </c>
      <c r="H6" s="8">
        <f>E6*G6</f>
        <v>3.456E-2</v>
      </c>
      <c r="I6" s="8" t="s">
        <v>63</v>
      </c>
      <c r="J6" s="37">
        <f>10*LOG(E6/(E6*G6),10)</f>
        <v>29.999999999999996</v>
      </c>
      <c r="L6" s="8">
        <f>E6*G6</f>
        <v>3.456E-2</v>
      </c>
    </row>
    <row r="7" spans="1:12">
      <c r="B7" s="8">
        <v>3.6</v>
      </c>
      <c r="C7" s="8">
        <v>3.6</v>
      </c>
      <c r="D7" s="8">
        <v>2.4</v>
      </c>
      <c r="E7" s="8">
        <f>2*(B7+C7)*D7</f>
        <v>34.56</v>
      </c>
      <c r="F7" s="36" t="s">
        <v>64</v>
      </c>
      <c r="G7" s="8">
        <v>1E-4</v>
      </c>
      <c r="H7" s="8">
        <f>E7*G7</f>
        <v>3.4560000000000003E-3</v>
      </c>
      <c r="I7" s="8" t="s">
        <v>65</v>
      </c>
      <c r="J7" s="37">
        <f>10*LOG(E7/(E7*G7),10)</f>
        <v>40</v>
      </c>
      <c r="L7" s="8">
        <f>E7*G7</f>
        <v>3.4560000000000003E-3</v>
      </c>
    </row>
    <row r="8" spans="1:12">
      <c r="B8" s="8">
        <v>3.6</v>
      </c>
      <c r="C8" s="8">
        <v>3.6</v>
      </c>
      <c r="D8" s="8">
        <v>2.4</v>
      </c>
      <c r="E8" s="8">
        <f>2*(B8+C8)*D8</f>
        <v>34.56</v>
      </c>
      <c r="F8" s="36" t="s">
        <v>66</v>
      </c>
      <c r="G8" s="8">
        <v>1.0000000000000001E-5</v>
      </c>
      <c r="H8" s="8">
        <f>E8*G8</f>
        <v>3.4560000000000005E-4</v>
      </c>
      <c r="I8" s="8" t="s">
        <v>67</v>
      </c>
      <c r="J8" s="37">
        <f>10*LOG(E8/(E8*G8),10)</f>
        <v>50</v>
      </c>
      <c r="L8" s="8">
        <f>E8*G8</f>
        <v>3.4560000000000005E-4</v>
      </c>
    </row>
    <row r="9" spans="1:12">
      <c r="F9" s="36"/>
    </row>
    <row r="10" spans="1:12">
      <c r="A10" s="102" t="s">
        <v>244</v>
      </c>
      <c r="B10" s="97" t="s">
        <v>68</v>
      </c>
      <c r="C10" s="97"/>
      <c r="D10" s="97"/>
      <c r="E10" s="97"/>
      <c r="F10" s="97"/>
      <c r="G10" s="97" t="s">
        <v>69</v>
      </c>
      <c r="H10" s="97" t="s">
        <v>54</v>
      </c>
      <c r="I10" s="97"/>
      <c r="J10" s="97" t="s">
        <v>70</v>
      </c>
      <c r="K10" s="97"/>
      <c r="L10" s="97"/>
    </row>
    <row r="11" spans="1:12">
      <c r="B11" s="35" t="s">
        <v>71</v>
      </c>
      <c r="C11" s="35" t="s">
        <v>72</v>
      </c>
      <c r="D11" s="35" t="s">
        <v>73</v>
      </c>
      <c r="E11" s="35" t="s">
        <v>59</v>
      </c>
      <c r="F11" s="35"/>
      <c r="G11" s="8" t="s">
        <v>74</v>
      </c>
      <c r="I11" s="8" t="s">
        <v>60</v>
      </c>
      <c r="J11" s="8" t="s">
        <v>61</v>
      </c>
      <c r="L11" s="97" t="s">
        <v>248</v>
      </c>
    </row>
    <row r="12" spans="1:12">
      <c r="B12" s="8">
        <v>0.2</v>
      </c>
      <c r="D12" s="8">
        <v>0.2</v>
      </c>
      <c r="E12" s="8">
        <f>B12*D12</f>
        <v>4.0000000000000008E-2</v>
      </c>
      <c r="G12" s="8">
        <v>1</v>
      </c>
      <c r="H12" s="8">
        <f>E12*G12</f>
        <v>4.0000000000000008E-2</v>
      </c>
      <c r="I12" s="8" t="s">
        <v>75</v>
      </c>
      <c r="J12" s="37">
        <f>10*LOG(E6/(L12+H12),10)</f>
        <v>26.663008875826502</v>
      </c>
      <c r="L12" s="8">
        <f>(E6-E12)*G6</f>
        <v>3.4520000000000002E-2</v>
      </c>
    </row>
    <row r="13" spans="1:12">
      <c r="B13" s="8">
        <v>0.2</v>
      </c>
      <c r="D13" s="8">
        <v>0.2</v>
      </c>
      <c r="E13" s="8">
        <f>B13*D13</f>
        <v>4.0000000000000008E-2</v>
      </c>
      <c r="G13" s="8">
        <v>1</v>
      </c>
      <c r="H13" s="8">
        <f>E13*G13</f>
        <v>4.0000000000000008E-2</v>
      </c>
      <c r="I13" s="8" t="s">
        <v>76</v>
      </c>
      <c r="J13" s="37">
        <f>10*LOG(E7/(L13+H13),10)</f>
        <v>29.005639629422188</v>
      </c>
      <c r="L13" s="8">
        <f>(E7-E13)*G7</f>
        <v>3.4520000000000006E-3</v>
      </c>
    </row>
    <row r="14" spans="1:12">
      <c r="B14" s="8">
        <v>0.2</v>
      </c>
      <c r="D14" s="8">
        <v>0.2</v>
      </c>
      <c r="E14" s="8">
        <f>B14*D14</f>
        <v>4.0000000000000008E-2</v>
      </c>
      <c r="G14" s="8">
        <v>1</v>
      </c>
      <c r="H14" s="8">
        <f>E14*G14</f>
        <v>4.0000000000000008E-2</v>
      </c>
      <c r="I14" s="8" t="s">
        <v>67</v>
      </c>
      <c r="J14" s="37">
        <f>10*LOG(E8/(L14+H14),10)</f>
        <v>29.327818611060117</v>
      </c>
      <c r="L14" s="8">
        <f>(E8-E14)*G8</f>
        <v>3.4520000000000004E-4</v>
      </c>
    </row>
    <row r="16" spans="1:12">
      <c r="A16" s="102" t="s">
        <v>245</v>
      </c>
      <c r="B16" s="97" t="s">
        <v>0</v>
      </c>
      <c r="C16" s="97"/>
      <c r="D16" s="97"/>
      <c r="E16" s="97"/>
      <c r="F16" s="97"/>
      <c r="G16" s="97" t="s">
        <v>77</v>
      </c>
      <c r="H16" s="97" t="s">
        <v>54</v>
      </c>
      <c r="I16" s="97"/>
      <c r="J16" s="97" t="s">
        <v>130</v>
      </c>
    </row>
    <row r="17" spans="1:12">
      <c r="B17" s="35" t="s">
        <v>78</v>
      </c>
      <c r="C17" s="35" t="s">
        <v>79</v>
      </c>
      <c r="D17" s="35" t="s">
        <v>80</v>
      </c>
      <c r="E17" s="35" t="s">
        <v>59</v>
      </c>
      <c r="F17" s="35"/>
      <c r="G17" s="8" t="s">
        <v>81</v>
      </c>
      <c r="I17" s="8" t="s">
        <v>60</v>
      </c>
      <c r="J17" s="8" t="s">
        <v>61</v>
      </c>
      <c r="L17" s="97" t="s">
        <v>249</v>
      </c>
    </row>
    <row r="18" spans="1:12">
      <c r="B18" s="8">
        <v>1.8</v>
      </c>
      <c r="D18" s="8">
        <v>0.9</v>
      </c>
      <c r="E18" s="8">
        <f>B18*D18</f>
        <v>1.62</v>
      </c>
      <c r="G18" s="8">
        <v>0.01</v>
      </c>
      <c r="H18" s="8">
        <f>E18*G18</f>
        <v>1.6200000000000003E-2</v>
      </c>
      <c r="I18" s="8" t="s">
        <v>63</v>
      </c>
      <c r="J18" s="37">
        <f>10*LOG(E6/(L18+H18),10)</f>
        <v>28.471385816627933</v>
      </c>
      <c r="L18" s="8">
        <f>(E6-E18)*G6</f>
        <v>3.2940000000000004E-2</v>
      </c>
    </row>
    <row r="19" spans="1:12">
      <c r="B19" s="8">
        <v>1.8</v>
      </c>
      <c r="D19" s="8">
        <v>0.9</v>
      </c>
      <c r="E19" s="8">
        <f>B19*D19</f>
        <v>1.62</v>
      </c>
      <c r="G19" s="8">
        <v>0.01</v>
      </c>
      <c r="H19" s="8">
        <f>E19*G19</f>
        <v>1.6200000000000003E-2</v>
      </c>
      <c r="I19" s="8" t="s">
        <v>76</v>
      </c>
      <c r="J19" s="37">
        <f>10*LOG(E7/(L19+H19),10)</f>
        <v>32.486727720782291</v>
      </c>
      <c r="L19" s="8">
        <f>(E7-E19)*G7</f>
        <v>3.2940000000000005E-3</v>
      </c>
    </row>
    <row r="20" spans="1:12">
      <c r="B20" s="8">
        <v>1.8</v>
      </c>
      <c r="D20" s="8">
        <v>0.9</v>
      </c>
      <c r="E20" s="8">
        <f>B20*D20</f>
        <v>1.62</v>
      </c>
      <c r="G20" s="8">
        <v>0.01</v>
      </c>
      <c r="H20" s="8">
        <f>E20*G20</f>
        <v>1.6200000000000003E-2</v>
      </c>
      <c r="I20" s="8" t="s">
        <v>67</v>
      </c>
      <c r="J20" s="37">
        <f>10*LOG(E8/(L20+H20),10)</f>
        <v>33.20316644386552</v>
      </c>
      <c r="L20" s="8">
        <f>(E8-E20)*G8</f>
        <v>3.2940000000000009E-4</v>
      </c>
    </row>
    <row r="22" spans="1:12">
      <c r="A22" s="102" t="s">
        <v>246</v>
      </c>
      <c r="B22" s="97" t="s">
        <v>125</v>
      </c>
      <c r="C22" s="97"/>
      <c r="D22" s="97"/>
      <c r="E22" s="97"/>
      <c r="F22" s="97"/>
      <c r="G22" s="97" t="s">
        <v>126</v>
      </c>
      <c r="H22" s="97" t="s">
        <v>54</v>
      </c>
      <c r="I22" s="97"/>
      <c r="J22" s="97" t="s">
        <v>125</v>
      </c>
    </row>
    <row r="23" spans="1:12">
      <c r="B23" s="35" t="s">
        <v>82</v>
      </c>
      <c r="C23" s="35" t="s">
        <v>79</v>
      </c>
      <c r="D23" s="35" t="s">
        <v>80</v>
      </c>
      <c r="E23" s="35" t="s">
        <v>59</v>
      </c>
      <c r="F23" s="35"/>
      <c r="G23" s="8" t="s">
        <v>81</v>
      </c>
      <c r="I23" s="8" t="s">
        <v>60</v>
      </c>
      <c r="J23" s="8" t="s">
        <v>61</v>
      </c>
      <c r="L23" s="97" t="s">
        <v>249</v>
      </c>
    </row>
    <row r="24" spans="1:12">
      <c r="B24" s="8">
        <v>1.8</v>
      </c>
      <c r="D24" s="8">
        <v>0.9</v>
      </c>
      <c r="E24" s="8">
        <f>B24*D24</f>
        <v>1.62</v>
      </c>
      <c r="G24" s="8">
        <v>1</v>
      </c>
      <c r="H24" s="8">
        <f>E24*G24*0.5+E18*G18*0.5</f>
        <v>0.81810000000000005</v>
      </c>
      <c r="I24" s="8" t="s">
        <v>63</v>
      </c>
      <c r="J24" s="37">
        <f>10*LOG(E6/(L24+H24),10)</f>
        <v>16.086237608303506</v>
      </c>
      <c r="L24" s="8">
        <f>(E6-E24)*G6</f>
        <v>3.2940000000000004E-2</v>
      </c>
    </row>
    <row r="25" spans="1:12">
      <c r="B25" s="8">
        <v>1.8</v>
      </c>
      <c r="D25" s="8">
        <v>0.9</v>
      </c>
      <c r="E25" s="8">
        <f>B25*D25</f>
        <v>1.62</v>
      </c>
      <c r="G25" s="8">
        <v>1</v>
      </c>
      <c r="H25" s="8">
        <f>E25*G25*0.5+E19*G19*0.5</f>
        <v>0.81810000000000005</v>
      </c>
      <c r="I25" s="8" t="s">
        <v>76</v>
      </c>
      <c r="J25" s="37">
        <f>10*LOG(E7/(L25+H25),10)</f>
        <v>16.240222076491058</v>
      </c>
      <c r="L25" s="8">
        <f>(E7-E25)*G7</f>
        <v>3.2940000000000005E-3</v>
      </c>
    </row>
    <row r="26" spans="1:12">
      <c r="B26" s="8">
        <v>1.8</v>
      </c>
      <c r="D26" s="8">
        <v>0.9</v>
      </c>
      <c r="E26" s="8">
        <f>B26*D26</f>
        <v>1.62</v>
      </c>
      <c r="G26" s="8">
        <v>1</v>
      </c>
      <c r="H26" s="8">
        <f>E26*G26*0.5+E20*G20*0.5</f>
        <v>0.81810000000000005</v>
      </c>
      <c r="I26" s="8" t="s">
        <v>67</v>
      </c>
      <c r="J26" s="37">
        <f>10*LOG(E8/(L26+H26),10)</f>
        <v>16.255925118949907</v>
      </c>
      <c r="L26" s="8">
        <f>(E8-E26)*G8</f>
        <v>3.2940000000000009E-4</v>
      </c>
    </row>
    <row r="29" spans="1:12">
      <c r="A29" s="102" t="s">
        <v>247</v>
      </c>
      <c r="B29" s="97" t="s">
        <v>83</v>
      </c>
      <c r="C29" s="97"/>
      <c r="D29" s="97"/>
      <c r="E29" s="97"/>
      <c r="F29" s="97" t="s">
        <v>124</v>
      </c>
      <c r="G29" s="97" t="s">
        <v>84</v>
      </c>
      <c r="H29" s="97" t="s">
        <v>54</v>
      </c>
      <c r="I29" s="97"/>
      <c r="J29" s="97" t="s">
        <v>83</v>
      </c>
    </row>
    <row r="30" spans="1:12">
      <c r="B30" s="35" t="s">
        <v>56</v>
      </c>
      <c r="C30" s="35" t="s">
        <v>57</v>
      </c>
      <c r="D30" s="35" t="s">
        <v>58</v>
      </c>
      <c r="E30" s="35" t="s">
        <v>59</v>
      </c>
      <c r="F30" s="8">
        <v>3.0000000000000001E-3</v>
      </c>
      <c r="G30" s="8" t="s">
        <v>85</v>
      </c>
      <c r="I30" s="8" t="s">
        <v>60</v>
      </c>
      <c r="J30" s="8" t="s">
        <v>61</v>
      </c>
      <c r="L30" s="97" t="s">
        <v>250</v>
      </c>
    </row>
    <row r="31" spans="1:12">
      <c r="B31" s="8">
        <v>0.8</v>
      </c>
      <c r="D31" s="8">
        <v>2</v>
      </c>
      <c r="E31" s="8">
        <f>B31*D31-F31</f>
        <v>1.5832360000000001</v>
      </c>
      <c r="F31" s="60">
        <f>(B31+D31)*2*F$30-F$30^2*4</f>
        <v>1.6763999999999998E-2</v>
      </c>
      <c r="G31" s="8">
        <v>0.01</v>
      </c>
      <c r="H31" s="8">
        <f>E31*G31</f>
        <v>1.583236E-2</v>
      </c>
      <c r="I31" s="8" t="s">
        <v>63</v>
      </c>
      <c r="J31" s="37">
        <f>10*LOG(E6/(L31+E31*G31+F31*1),10)</f>
        <v>27.21958902328177</v>
      </c>
      <c r="L31" s="8">
        <f>(E6-E31-F31)*G6</f>
        <v>3.2960000000000003E-2</v>
      </c>
    </row>
    <row r="32" spans="1:12">
      <c r="B32" s="8">
        <v>0.8</v>
      </c>
      <c r="D32" s="8">
        <v>2</v>
      </c>
      <c r="E32" s="8">
        <f>B32*D32-F32</f>
        <v>1.5832360000000001</v>
      </c>
      <c r="F32" s="60">
        <f>(B32+D32)*2*F$30-F$30^2*4</f>
        <v>1.6763999999999998E-2</v>
      </c>
      <c r="G32" s="8">
        <v>0.01</v>
      </c>
      <c r="H32" s="8">
        <f>E32*G32</f>
        <v>1.583236E-2</v>
      </c>
      <c r="I32" s="8" t="s">
        <v>76</v>
      </c>
      <c r="J32" s="37">
        <f>10*LOG(E7/(L32+E32*G32+F32*1),10)</f>
        <v>29.835717187369006</v>
      </c>
      <c r="L32" s="8">
        <f>(E7-E32-F32)*G7</f>
        <v>3.2960000000000003E-3</v>
      </c>
    </row>
    <row r="33" spans="2:12">
      <c r="B33" s="8">
        <v>0.8</v>
      </c>
      <c r="D33" s="8">
        <v>2</v>
      </c>
      <c r="E33" s="8">
        <f>B33*D33-F33</f>
        <v>1.5832360000000001</v>
      </c>
      <c r="F33" s="60">
        <f>(B33+D33)*2*F$30-F$30^2*4</f>
        <v>1.6763999999999998E-2</v>
      </c>
      <c r="G33" s="8">
        <v>0.01</v>
      </c>
      <c r="H33" s="8">
        <f>E33*G33</f>
        <v>1.583236E-2</v>
      </c>
      <c r="I33" s="8" t="s">
        <v>67</v>
      </c>
      <c r="J33" s="37">
        <f>10*LOG(E8/(L33+E33*G33+F33*1),10)</f>
        <v>30.210352875572532</v>
      </c>
      <c r="L33" s="8">
        <f>(E8-E33-F33)*G8</f>
        <v>3.2960000000000004E-4</v>
      </c>
    </row>
    <row r="36" spans="2:12">
      <c r="B36" s="97" t="s">
        <v>127</v>
      </c>
    </row>
    <row r="37" spans="2:12">
      <c r="B37" s="97" t="s">
        <v>128</v>
      </c>
    </row>
    <row r="38" spans="2:12">
      <c r="B38" s="97" t="s">
        <v>129</v>
      </c>
    </row>
  </sheetData>
  <phoneticPr fontId="2"/>
  <pageMargins left="0.7" right="0.7" top="0.75" bottom="0.75" header="0.51200000000000001" footer="0.51200000000000001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見方・使い方</vt:lpstr>
      <vt:lpstr>p56-残響時間の推定式</vt:lpstr>
      <vt:lpstr>p57-サンプルケース</vt:lpstr>
      <vt:lpstr>p57&lt;Ch.1&gt;</vt:lpstr>
      <vt:lpstr>p67&lt;Ch.2&gt;</vt:lpstr>
      <vt:lpstr>回折のグラフ</vt:lpstr>
      <vt:lpstr>p70-サンプルケース</vt:lpstr>
      <vt:lpstr>p70＜Ch.3&gt;</vt:lpstr>
      <vt:lpstr>p73-サンプルケース</vt:lpstr>
      <vt:lpstr>p76&lt;Ch.4&gt;</vt:lpstr>
    </vt:vector>
  </TitlesOfParts>
  <Company>実践女子大学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環境デザイン研究室</dc:creator>
  <cp:lastModifiedBy>槙 究</cp:lastModifiedBy>
  <cp:lastPrinted>2010-05-07T07:23:06Z</cp:lastPrinted>
  <dcterms:created xsi:type="dcterms:W3CDTF">1999-08-10T10:26:46Z</dcterms:created>
  <dcterms:modified xsi:type="dcterms:W3CDTF">2014-04-27T09:38:03Z</dcterms:modified>
</cp:coreProperties>
</file>