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date1904="1" showInkAnnotation="0" autoCompressPictures="0"/>
  <bookViews>
    <workbookView xWindow="940" yWindow="460" windowWidth="26100" windowHeight="16880"/>
  </bookViews>
  <sheets>
    <sheet name="p90-PMV式" sheetId="26" r:id="rId1"/>
    <sheet name="p90-不快指数" sheetId="27" r:id="rId2"/>
    <sheet name="p96-放射熱伝達近似" sheetId="5" r:id="rId3"/>
    <sheet name="p97-サンプルケース" sheetId="6" r:id="rId4"/>
    <sheet name="p106&lt;Ch.1&gt;" sheetId="13" r:id="rId5"/>
    <sheet name="p111-サンプルケース" sheetId="30" r:id="rId6"/>
    <sheet name="p115&lt;Ch.2&gt;" sheetId="35" r:id="rId7"/>
    <sheet name="p125&lt;Ch.3&gt;" sheetId="28" r:id="rId8"/>
    <sheet name="p132-換気量計算" sheetId="25" r:id="rId9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4" i="30" l="1"/>
  <c r="Z8" i="30"/>
  <c r="V22" i="30"/>
  <c r="W8" i="30"/>
  <c r="Z7" i="30"/>
  <c r="W10" i="30"/>
  <c r="W9" i="30"/>
  <c r="V28" i="30"/>
  <c r="W27" i="30"/>
  <c r="W21" i="30"/>
  <c r="E22" i="25"/>
  <c r="C22" i="25"/>
  <c r="E19" i="25"/>
  <c r="C19" i="25"/>
  <c r="C15" i="25"/>
  <c r="C11" i="25"/>
  <c r="I6" i="30"/>
  <c r="I8" i="30"/>
  <c r="I9" i="30"/>
  <c r="I10" i="30"/>
  <c r="I12" i="30"/>
  <c r="I14" i="30"/>
  <c r="K12" i="30"/>
  <c r="K10" i="30"/>
  <c r="K9" i="30"/>
  <c r="K8" i="30"/>
  <c r="I15" i="30"/>
  <c r="I16" i="30"/>
  <c r="I19" i="30"/>
  <c r="I21" i="30"/>
  <c r="I22" i="30"/>
  <c r="I23" i="30"/>
  <c r="I24" i="30"/>
  <c r="I26" i="30"/>
  <c r="I28" i="30"/>
  <c r="I29" i="30"/>
  <c r="I30" i="30"/>
  <c r="N31" i="6"/>
  <c r="N16" i="6"/>
  <c r="I16" i="6"/>
  <c r="I5" i="6"/>
  <c r="I7" i="6"/>
  <c r="I9" i="6"/>
  <c r="I10" i="6"/>
  <c r="I12" i="6"/>
  <c r="I14" i="6"/>
  <c r="I15" i="6"/>
  <c r="I19" i="6"/>
  <c r="I21" i="6"/>
  <c r="I22" i="6"/>
  <c r="I24" i="6"/>
  <c r="I25" i="6"/>
  <c r="I27" i="6"/>
  <c r="I29" i="6"/>
  <c r="I30" i="6"/>
  <c r="I31" i="6"/>
  <c r="K24" i="6"/>
  <c r="K23" i="6"/>
  <c r="K22" i="6"/>
  <c r="K21" i="6"/>
  <c r="K12" i="6"/>
  <c r="K10" i="6"/>
  <c r="K9" i="6"/>
  <c r="K8" i="6"/>
  <c r="K7" i="6"/>
  <c r="C5" i="25"/>
  <c r="E16" i="5"/>
  <c r="T33" i="5"/>
  <c r="E8" i="5"/>
  <c r="D9" i="27"/>
  <c r="D8" i="27"/>
  <c r="W26" i="30"/>
  <c r="W24" i="30"/>
  <c r="W23" i="30"/>
  <c r="W22" i="30"/>
  <c r="X24" i="30"/>
  <c r="X23" i="30"/>
  <c r="X22" i="30"/>
  <c r="X21" i="30"/>
  <c r="X19" i="30"/>
  <c r="W12" i="30"/>
  <c r="K22" i="30"/>
  <c r="S22" i="30"/>
  <c r="K26" i="30"/>
  <c r="S26" i="30"/>
  <c r="X26" i="30"/>
  <c r="K23" i="30"/>
  <c r="S23" i="30"/>
  <c r="K24" i="30"/>
  <c r="S24" i="30"/>
  <c r="K21" i="30"/>
  <c r="S21" i="30"/>
  <c r="S19" i="30"/>
  <c r="X12" i="30"/>
  <c r="X10" i="30"/>
  <c r="X9" i="30"/>
  <c r="X8" i="30"/>
  <c r="X6" i="30"/>
  <c r="Z26" i="30"/>
  <c r="Z24" i="30"/>
  <c r="Z23" i="30"/>
  <c r="Z22" i="30"/>
  <c r="Z21" i="30"/>
  <c r="Z19" i="30"/>
  <c r="Z10" i="30"/>
  <c r="Z9" i="30"/>
  <c r="S12" i="30"/>
  <c r="S10" i="30"/>
  <c r="S9" i="30"/>
  <c r="S8" i="30"/>
  <c r="S6" i="30"/>
  <c r="P24" i="6"/>
  <c r="P25" i="6"/>
  <c r="M26" i="30"/>
  <c r="M24" i="30"/>
  <c r="M9" i="30"/>
  <c r="M23" i="30"/>
  <c r="M22" i="30"/>
  <c r="M21" i="30"/>
  <c r="M19" i="30"/>
  <c r="M10" i="30"/>
  <c r="M8" i="30"/>
  <c r="M7" i="30"/>
  <c r="M12" i="30"/>
  <c r="M6" i="30"/>
  <c r="F7" i="5"/>
  <c r="F8" i="5"/>
  <c r="G7" i="5"/>
  <c r="G8" i="5"/>
  <c r="H7" i="5"/>
  <c r="H8" i="5"/>
  <c r="I7" i="5"/>
  <c r="I8" i="5"/>
  <c r="J7" i="5"/>
  <c r="J8" i="5"/>
  <c r="K7" i="5"/>
  <c r="K8" i="5"/>
  <c r="L7" i="5"/>
  <c r="L8" i="5"/>
  <c r="M7" i="5"/>
  <c r="M8" i="5"/>
  <c r="N7" i="5"/>
  <c r="N8" i="5"/>
  <c r="O7" i="5"/>
  <c r="O8" i="5"/>
  <c r="P7" i="5"/>
  <c r="P8" i="5"/>
  <c r="Q7" i="5"/>
  <c r="Q8" i="5"/>
  <c r="R7" i="5"/>
  <c r="R8" i="5"/>
  <c r="S7" i="5"/>
  <c r="S8" i="5"/>
  <c r="T7" i="5"/>
  <c r="T8" i="5"/>
  <c r="E7" i="5"/>
  <c r="D16" i="5"/>
  <c r="E15" i="5"/>
  <c r="D31" i="5"/>
  <c r="T15" i="5"/>
  <c r="T31" i="5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K27" i="6"/>
  <c r="M9" i="6"/>
  <c r="M5" i="6"/>
  <c r="M6" i="6"/>
  <c r="M7" i="6"/>
  <c r="M10" i="6"/>
  <c r="M11" i="6"/>
  <c r="M12" i="6"/>
  <c r="K25" i="6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</calcChain>
</file>

<file path=xl/sharedStrings.xml><?xml version="1.0" encoding="utf-8"?>
<sst xmlns="http://schemas.openxmlformats.org/spreadsheetml/2006/main" count="277" uniqueCount="132">
  <si>
    <t>気温</t>
    <rPh sb="0" eb="2">
      <t>キオン</t>
    </rPh>
    <phoneticPr fontId="3"/>
  </si>
  <si>
    <t>Kcal/(m2･K･h)</t>
    <phoneticPr fontId="3"/>
  </si>
  <si>
    <t>気温差</t>
    <rPh sb="0" eb="3">
      <t>キオンサ</t>
    </rPh>
    <phoneticPr fontId="3"/>
  </si>
  <si>
    <t>　</t>
    <phoneticPr fontId="3"/>
  </si>
  <si>
    <t>室内側空気層</t>
    <rPh sb="0" eb="3">
      <t>シツナイガワ</t>
    </rPh>
    <rPh sb="3" eb="6">
      <t>クウキソウ</t>
    </rPh>
    <phoneticPr fontId="3"/>
  </si>
  <si>
    <t>壁体</t>
    <rPh sb="0" eb="2">
      <t>ヘキタイ</t>
    </rPh>
    <phoneticPr fontId="3"/>
  </si>
  <si>
    <t>室外側空気層</t>
    <rPh sb="0" eb="6">
      <t>シツガイガワクウキソウ</t>
    </rPh>
    <phoneticPr fontId="3"/>
  </si>
  <si>
    <t>コンクリート</t>
    <phoneticPr fontId="3"/>
  </si>
  <si>
    <t>温度</t>
    <rPh sb="0" eb="2">
      <t>オンド</t>
    </rPh>
    <phoneticPr fontId="3"/>
  </si>
  <si>
    <t>厚さ〔mm〕</t>
    <rPh sb="0" eb="1">
      <t>アツ</t>
    </rPh>
    <phoneticPr fontId="3"/>
  </si>
  <si>
    <t>石膏ボード</t>
    <rPh sb="0" eb="2">
      <t>セッコウ</t>
    </rPh>
    <phoneticPr fontId="3"/>
  </si>
  <si>
    <t>-</t>
    <phoneticPr fontId="3"/>
  </si>
  <si>
    <t>モルタル</t>
    <phoneticPr fontId="3"/>
  </si>
  <si>
    <t>中空層</t>
    <rPh sb="0" eb="3">
      <t>チュウクウソウ</t>
    </rPh>
    <phoneticPr fontId="3"/>
  </si>
  <si>
    <t>ポリスチレンフォーム</t>
    <phoneticPr fontId="3"/>
  </si>
  <si>
    <t>熱抵抗</t>
    <rPh sb="0" eb="3">
      <t>ネツカンリュウテイコウ</t>
    </rPh>
    <phoneticPr fontId="3"/>
  </si>
  <si>
    <t>熱伝導率〔W/(m･K)〕</t>
    <rPh sb="0" eb="4">
      <t>ネツカンリュウリツ</t>
    </rPh>
    <phoneticPr fontId="3"/>
  </si>
  <si>
    <r>
      <t>熱伝達率〔W/(m</t>
    </r>
    <r>
      <rPr>
        <vertAlign val="superscript"/>
        <sz val="12"/>
        <rFont val="ヒラギノ角ゴ Pro W3"/>
        <charset val="128"/>
      </rPr>
      <t>2</t>
    </r>
    <r>
      <rPr>
        <sz val="12"/>
        <rFont val="ヒラギノ角ゴ Pro W3"/>
        <charset val="128"/>
      </rPr>
      <t>･K)〕</t>
    </r>
    <rPh sb="0" eb="4">
      <t>ネツカンリュウリツ</t>
    </rPh>
    <phoneticPr fontId="3"/>
  </si>
  <si>
    <r>
      <t>d</t>
    </r>
    <r>
      <rPr>
        <vertAlign val="subscript"/>
        <sz val="12"/>
        <rFont val="ヒラギノ角ゴ Pro W3"/>
        <charset val="128"/>
      </rPr>
      <t>2</t>
    </r>
    <phoneticPr fontId="3"/>
  </si>
  <si>
    <r>
      <t>d</t>
    </r>
    <r>
      <rPr>
        <vertAlign val="subscript"/>
        <sz val="12"/>
        <rFont val="ヒラギノ角ゴ Pro W3"/>
        <charset val="128"/>
      </rPr>
      <t>3</t>
    </r>
    <phoneticPr fontId="3"/>
  </si>
  <si>
    <r>
      <t>d</t>
    </r>
    <r>
      <rPr>
        <vertAlign val="subscript"/>
        <sz val="12"/>
        <rFont val="ヒラギノ角ゴ Pro W3"/>
        <charset val="128"/>
      </rPr>
      <t>4</t>
    </r>
    <phoneticPr fontId="3"/>
  </si>
  <si>
    <r>
      <rPr>
        <sz val="12"/>
        <rFont val="ヒラギノ角ゴ Pro W3"/>
        <charset val="128"/>
      </rPr>
      <t>d</t>
    </r>
    <r>
      <rPr>
        <vertAlign val="subscript"/>
        <sz val="12"/>
        <rFont val="ヒラギノ角ゴ Pro W3"/>
        <charset val="128"/>
      </rPr>
      <t>5</t>
    </r>
    <phoneticPr fontId="3"/>
  </si>
  <si>
    <r>
      <t>熱伝達率〔W/(m</t>
    </r>
    <r>
      <rPr>
        <vertAlign val="superscript"/>
        <sz val="11"/>
        <rFont val="ヒラギノ角ゴ Pro W3"/>
        <charset val="128"/>
      </rPr>
      <t>2</t>
    </r>
    <r>
      <rPr>
        <sz val="11"/>
        <rFont val="ヒラギノ角ゴ Pro W3"/>
        <charset val="128"/>
      </rPr>
      <t>･K)〕</t>
    </r>
    <rPh sb="0" eb="4">
      <t>ネツカンリュウリツ</t>
    </rPh>
    <phoneticPr fontId="3"/>
  </si>
  <si>
    <t>−</t>
    <phoneticPr fontId="3"/>
  </si>
  <si>
    <r>
      <t>m</t>
    </r>
    <r>
      <rPr>
        <vertAlign val="superscript"/>
        <sz val="11"/>
        <rFont val="ヒラギノ角ゴ Pro W3"/>
        <charset val="128"/>
      </rPr>
      <t>2</t>
    </r>
    <r>
      <rPr>
        <sz val="11"/>
        <rFont val="ヒラギノ角ゴ Pro W3"/>
        <charset val="128"/>
      </rPr>
      <t>･K/W</t>
    </r>
    <phoneticPr fontId="3"/>
  </si>
  <si>
    <r>
      <t>W/(m</t>
    </r>
    <r>
      <rPr>
        <vertAlign val="superscript"/>
        <sz val="11"/>
        <rFont val="ヒラギノ角ゴ Pro W3"/>
        <charset val="128"/>
      </rPr>
      <t>2</t>
    </r>
    <r>
      <rPr>
        <sz val="11"/>
        <rFont val="ヒラギノ角ゴ Pro W3"/>
        <charset val="128"/>
      </rPr>
      <t>･K)</t>
    </r>
    <phoneticPr fontId="3"/>
  </si>
  <si>
    <r>
      <t>d</t>
    </r>
    <r>
      <rPr>
        <vertAlign val="subscript"/>
        <sz val="9"/>
        <rFont val="ヒラギノ角ゴ Pro W3"/>
        <charset val="128"/>
      </rPr>
      <t>1</t>
    </r>
    <phoneticPr fontId="3"/>
  </si>
  <si>
    <r>
      <t>d</t>
    </r>
    <r>
      <rPr>
        <vertAlign val="subscript"/>
        <sz val="9"/>
        <rFont val="ヒラギノ角ゴ Pro W3"/>
        <charset val="128"/>
      </rPr>
      <t>2</t>
    </r>
    <phoneticPr fontId="3"/>
  </si>
  <si>
    <r>
      <t>d</t>
    </r>
    <r>
      <rPr>
        <vertAlign val="subscript"/>
        <sz val="9"/>
        <rFont val="ヒラギノ角ゴ Pro W3"/>
        <charset val="128"/>
      </rPr>
      <t>3</t>
    </r>
    <phoneticPr fontId="3"/>
  </si>
  <si>
    <r>
      <t>d</t>
    </r>
    <r>
      <rPr>
        <vertAlign val="subscript"/>
        <sz val="9"/>
        <rFont val="ヒラギノ角ゴ Pro W3"/>
        <charset val="128"/>
      </rPr>
      <t>4</t>
    </r>
    <phoneticPr fontId="3"/>
  </si>
  <si>
    <t>全体の熱抵抗</t>
    <rPh sb="0" eb="2">
      <t>ゼンタイ</t>
    </rPh>
    <rPh sb="3" eb="6">
      <t>ネツカンリュウテイコウ</t>
    </rPh>
    <phoneticPr fontId="3"/>
  </si>
  <si>
    <t>全体の熱貫流率</t>
    <rPh sb="0" eb="2">
      <t>ゼンタイ</t>
    </rPh>
    <rPh sb="3" eb="6">
      <t>ネツカンリュウ</t>
    </rPh>
    <rPh sb="6" eb="7">
      <t>リツ</t>
    </rPh>
    <phoneticPr fontId="3"/>
  </si>
  <si>
    <t>全体の熱抵抗</t>
    <rPh sb="0" eb="2">
      <t>ゼンタイ</t>
    </rPh>
    <rPh sb="3" eb="4">
      <t>ネツテイコウ</t>
    </rPh>
    <rPh sb="4" eb="6">
      <t>ネツカンリュウテイコウ</t>
    </rPh>
    <phoneticPr fontId="3"/>
  </si>
  <si>
    <t>Q</t>
    <phoneticPr fontId="3"/>
  </si>
  <si>
    <t>M</t>
    <phoneticPr fontId="3"/>
  </si>
  <si>
    <t>C</t>
    <phoneticPr fontId="3"/>
  </si>
  <si>
    <t>Co</t>
    <phoneticPr fontId="3"/>
  </si>
  <si>
    <t>■不快指数</t>
    <rPh sb="1" eb="5">
      <t>フカイシスウ</t>
    </rPh>
    <phoneticPr fontId="3"/>
  </si>
  <si>
    <r>
      <t>DI＝0.81t</t>
    </r>
    <r>
      <rPr>
        <vertAlign val="subscript"/>
        <sz val="12"/>
        <rFont val="Osaka"/>
        <charset val="128"/>
      </rPr>
      <t>a</t>
    </r>
    <r>
      <rPr>
        <sz val="12"/>
        <rFont val="Osaka"/>
        <charset val="128"/>
      </rPr>
      <t>+0.01φ(0.99t</t>
    </r>
    <r>
      <rPr>
        <vertAlign val="subscript"/>
        <sz val="12"/>
        <rFont val="Osaka"/>
        <charset val="128"/>
      </rPr>
      <t>a</t>
    </r>
    <r>
      <rPr>
        <sz val="12"/>
        <rFont val="Osaka"/>
        <charset val="128"/>
      </rPr>
      <t>-14.3)+46.3</t>
    </r>
    <phoneticPr fontId="2"/>
  </si>
  <si>
    <t>■ステファン・ボルツマンの法則</t>
    <rPh sb="13" eb="15">
      <t>ホウソク</t>
    </rPh>
    <phoneticPr fontId="3"/>
  </si>
  <si>
    <r>
      <t>壁温T</t>
    </r>
    <r>
      <rPr>
        <vertAlign val="subscript"/>
        <sz val="12"/>
        <rFont val="Osaka"/>
        <charset val="128"/>
      </rPr>
      <t>1</t>
    </r>
    <rPh sb="0" eb="1">
      <t>ヘキオン</t>
    </rPh>
    <phoneticPr fontId="3"/>
  </si>
  <si>
    <r>
      <t>壁温T</t>
    </r>
    <r>
      <rPr>
        <vertAlign val="subscript"/>
        <sz val="12"/>
        <rFont val="Osaka"/>
        <charset val="128"/>
      </rPr>
      <t>2</t>
    </r>
    <rPh sb="0" eb="1">
      <t>ヘキオン</t>
    </rPh>
    <phoneticPr fontId="3"/>
  </si>
  <si>
    <t>K</t>
    <phoneticPr fontId="3"/>
  </si>
  <si>
    <t>℃</t>
    <phoneticPr fontId="3"/>
  </si>
  <si>
    <r>
      <t>W/m</t>
    </r>
    <r>
      <rPr>
        <vertAlign val="superscript"/>
        <sz val="12"/>
        <rFont val="Osaka"/>
        <charset val="128"/>
      </rPr>
      <t>2</t>
    </r>
    <phoneticPr fontId="3"/>
  </si>
  <si>
    <t>■PMVの算出式</t>
    <rPh sb="5" eb="8">
      <t>サンシュツシキ</t>
    </rPh>
    <phoneticPr fontId="2"/>
  </si>
  <si>
    <t>■熱抵抗の計算、壁体内部温度の計算</t>
    <rPh sb="1" eb="4">
      <t>ネツテイコウ</t>
    </rPh>
    <rPh sb="5" eb="7">
      <t>ケイサン</t>
    </rPh>
    <rPh sb="8" eb="9">
      <t>ヘキタイ</t>
    </rPh>
    <rPh sb="10" eb="14">
      <t>ナイブオンド</t>
    </rPh>
    <rPh sb="15" eb="17">
      <t>ケイサン</t>
    </rPh>
    <phoneticPr fontId="2"/>
  </si>
  <si>
    <t>プラスターボード</t>
    <phoneticPr fontId="3"/>
  </si>
  <si>
    <t>グラスウール</t>
    <phoneticPr fontId="3"/>
  </si>
  <si>
    <r>
      <t>d</t>
    </r>
    <r>
      <rPr>
        <vertAlign val="subscript"/>
        <sz val="9"/>
        <rFont val="ヒラギノ角ゴ Pro W3"/>
        <charset val="128"/>
      </rPr>
      <t>2</t>
    </r>
    <phoneticPr fontId="3"/>
  </si>
  <si>
    <r>
      <t>d</t>
    </r>
    <r>
      <rPr>
        <vertAlign val="subscript"/>
        <sz val="9"/>
        <rFont val="ヒラギノ角ゴ Pro W3"/>
        <charset val="128"/>
      </rPr>
      <t>3</t>
    </r>
    <phoneticPr fontId="3"/>
  </si>
  <si>
    <r>
      <t>d</t>
    </r>
    <r>
      <rPr>
        <vertAlign val="subscript"/>
        <sz val="12"/>
        <rFont val="ヒラギノ角ゴ Pro W3"/>
        <charset val="128"/>
      </rPr>
      <t>3</t>
    </r>
    <phoneticPr fontId="3"/>
  </si>
  <si>
    <t>防湿シート</t>
    <rPh sb="0" eb="2">
      <t>ボウシツ</t>
    </rPh>
    <phoneticPr fontId="3"/>
  </si>
  <si>
    <t>■透湿抵抗の計算、壁体内部湿度の計算</t>
    <rPh sb="1" eb="3">
      <t>トウシツ</t>
    </rPh>
    <rPh sb="3" eb="5">
      <t>ネツテイコウ</t>
    </rPh>
    <rPh sb="6" eb="8">
      <t>ケイサン</t>
    </rPh>
    <rPh sb="9" eb="10">
      <t>ヘキタイ</t>
    </rPh>
    <rPh sb="11" eb="13">
      <t>ナイブオンド</t>
    </rPh>
    <rPh sb="13" eb="15">
      <t>シツド</t>
    </rPh>
    <rPh sb="16" eb="18">
      <t>ケイサン</t>
    </rPh>
    <phoneticPr fontId="2"/>
  </si>
  <si>
    <r>
      <t>kcal/(m</t>
    </r>
    <r>
      <rPr>
        <vertAlign val="superscript"/>
        <sz val="12"/>
        <rFont val="ヒラギノ角ゴ Pro W3"/>
        <charset val="128"/>
      </rPr>
      <t>2</t>
    </r>
    <r>
      <rPr>
        <sz val="12"/>
        <rFont val="ヒラギノ角ゴ Pro W3"/>
        <charset val="128"/>
      </rPr>
      <t>･K･h)</t>
    </r>
    <phoneticPr fontId="3"/>
  </si>
  <si>
    <t>壁面積(10×10×2.5m×4面）の熱流量</t>
    <rPh sb="0" eb="3">
      <t>カベメンセキ</t>
    </rPh>
    <rPh sb="16" eb="17">
      <t>メン</t>
    </rPh>
    <rPh sb="19" eb="22">
      <t>ネツリュウリョウ</t>
    </rPh>
    <phoneticPr fontId="3"/>
  </si>
  <si>
    <r>
      <t>kcal/(</t>
    </r>
    <r>
      <rPr>
        <sz val="12"/>
        <rFont val="ヒラギノ角ゴ Pro W3"/>
        <charset val="128"/>
      </rPr>
      <t>K･h)</t>
    </r>
    <phoneticPr fontId="3"/>
  </si>
  <si>
    <t>kcal/h</t>
    <phoneticPr fontId="3"/>
  </si>
  <si>
    <t>ml</t>
    <phoneticPr fontId="3"/>
  </si>
  <si>
    <t>※1W=0.86kcal/h</t>
    <phoneticPr fontId="3"/>
  </si>
  <si>
    <t>℃</t>
  </si>
  <si>
    <t>■暖房の開始・停止と室温変動</t>
    <rPh sb="1" eb="3">
      <t>ダンボウ</t>
    </rPh>
    <rPh sb="4" eb="6">
      <t>カイシ</t>
    </rPh>
    <rPh sb="7" eb="9">
      <t>テイシ</t>
    </rPh>
    <rPh sb="10" eb="14">
      <t>シツオンヘンドウ</t>
    </rPh>
    <phoneticPr fontId="2"/>
  </si>
  <si>
    <t>（１）高断熱・低熱容量の室温変動パターンはどれか。</t>
  </si>
  <si>
    <t>（２）高断熱・高熱容量の室温変動パターンはどれか。</t>
  </si>
  <si>
    <t>透湿抵抗</t>
    <rPh sb="0" eb="4">
      <t>トウシツテイコウ</t>
    </rPh>
    <phoneticPr fontId="3"/>
  </si>
  <si>
    <t>熱伝達率・熱伝導率</t>
    <rPh sb="0" eb="4">
      <t>ネツデンタツリツ</t>
    </rPh>
    <rPh sb="5" eb="9">
      <t>ネツカンリュウリツ</t>
    </rPh>
    <phoneticPr fontId="3"/>
  </si>
  <si>
    <t>〔mm〕</t>
    <phoneticPr fontId="3"/>
  </si>
  <si>
    <t>厚さ</t>
  </si>
  <si>
    <t>飽和水蒸気圧</t>
    <rPh sb="5" eb="6">
      <t>アツ</t>
    </rPh>
    <phoneticPr fontId="2"/>
  </si>
  <si>
    <t>〔kPa〕</t>
    <phoneticPr fontId="3"/>
  </si>
  <si>
    <t>全体の透湿抵抗</t>
    <rPh sb="0" eb="2">
      <t>ゼンタイ</t>
    </rPh>
    <rPh sb="3" eb="5">
      <t>トウシツ</t>
    </rPh>
    <rPh sb="5" eb="7">
      <t>ネツカンリュウテイコウ</t>
    </rPh>
    <phoneticPr fontId="3"/>
  </si>
  <si>
    <t>水蒸気圧</t>
    <rPh sb="3" eb="4">
      <t>アツ</t>
    </rPh>
    <phoneticPr fontId="2"/>
  </si>
  <si>
    <t>水蒸気分圧</t>
    <rPh sb="0" eb="5">
      <t>スイジョウキアツ</t>
    </rPh>
    <phoneticPr fontId="2"/>
  </si>
  <si>
    <t>相対湿度</t>
    <rPh sb="0" eb="4">
      <t>ソウタイシツド</t>
    </rPh>
    <phoneticPr fontId="2"/>
  </si>
  <si>
    <t>〔%〕</t>
    <phoneticPr fontId="3"/>
  </si>
  <si>
    <t>１mmHg＝１３３．３２２Ｐa</t>
    <phoneticPr fontId="2"/>
  </si>
  <si>
    <r>
      <t>〔m</t>
    </r>
    <r>
      <rPr>
        <vertAlign val="superscript"/>
        <sz val="11"/>
        <rFont val="ヒラギノ角ゴ Pro W3"/>
        <charset val="128"/>
      </rPr>
      <t>2･</t>
    </r>
    <r>
      <rPr>
        <sz val="11"/>
        <rFont val="ヒラギノ角ゴ Pro W3"/>
        <charset val="128"/>
      </rPr>
      <t>s･Pa/kg*10</t>
    </r>
    <r>
      <rPr>
        <vertAlign val="superscript"/>
        <sz val="11"/>
        <rFont val="ヒラギノ角ゴ Pro W3"/>
        <charset val="128"/>
      </rPr>
      <t>9</t>
    </r>
    <r>
      <rPr>
        <sz val="11"/>
        <rFont val="ヒラギノ角ゴ Pro W3"/>
        <charset val="128"/>
      </rPr>
      <t>〕</t>
    </r>
    <phoneticPr fontId="2"/>
  </si>
  <si>
    <t>相対</t>
    <rPh sb="0" eb="2">
      <t>ソウタイ</t>
    </rPh>
    <phoneticPr fontId="3"/>
  </si>
  <si>
    <t>湿度</t>
    <rPh sb="0" eb="2">
      <t>シツド</t>
    </rPh>
    <phoneticPr fontId="2"/>
  </si>
  <si>
    <t>←不快指数80以上（全員が不快）</t>
    <rPh sb="1" eb="5">
      <t>フカイシスウ</t>
    </rPh>
    <rPh sb="7" eb="9">
      <t>イジョウ</t>
    </rPh>
    <rPh sb="10" eb="13">
      <t>ゼンインガフカイ)</t>
    </rPh>
    <phoneticPr fontId="2"/>
  </si>
  <si>
    <t>↑不快指数70未満（10％未満の人が不快）</t>
    <rPh sb="1" eb="5">
      <t>フカイシスウ</t>
    </rPh>
    <rPh sb="7" eb="9">
      <t>ミマン</t>
    </rPh>
    <rPh sb="13" eb="15">
      <t>ミマン</t>
    </rPh>
    <rPh sb="16" eb="17">
      <t>ヒト</t>
    </rPh>
    <rPh sb="18" eb="20">
      <t>フカイ</t>
    </rPh>
    <phoneticPr fontId="2"/>
  </si>
  <si>
    <t>※p102参照</t>
    <rPh sb="5" eb="7">
      <t>サンショウ</t>
    </rPh>
    <phoneticPr fontId="3"/>
  </si>
  <si>
    <t>E</t>
    <phoneticPr fontId="3"/>
  </si>
  <si>
    <t>壁温</t>
    <rPh sb="0" eb="1">
      <t>ヘキオン</t>
    </rPh>
    <phoneticPr fontId="3"/>
  </si>
  <si>
    <r>
      <t>(T</t>
    </r>
    <r>
      <rPr>
        <vertAlign val="subscript"/>
        <sz val="12"/>
        <color theme="3" tint="0.39997558519241921"/>
        <rFont val="Osaka"/>
        <charset val="128"/>
      </rPr>
      <t>1</t>
    </r>
    <r>
      <rPr>
        <vertAlign val="superscript"/>
        <sz val="12"/>
        <color theme="3" tint="0.39997558519241921"/>
        <rFont val="Osaka"/>
        <charset val="128"/>
      </rPr>
      <t>2</t>
    </r>
    <r>
      <rPr>
        <sz val="12"/>
        <color theme="3" tint="0.39997558519241921"/>
        <rFont val="Osaka"/>
        <charset val="128"/>
      </rPr>
      <t>+T</t>
    </r>
    <r>
      <rPr>
        <vertAlign val="subscript"/>
        <sz val="12"/>
        <color theme="3" tint="0.39997558519241921"/>
        <rFont val="Osaka"/>
        <charset val="128"/>
      </rPr>
      <t>2</t>
    </r>
    <r>
      <rPr>
        <vertAlign val="superscript"/>
        <sz val="12"/>
        <color theme="3" tint="0.39997558519241921"/>
        <rFont val="Osaka"/>
        <charset val="128"/>
      </rPr>
      <t>2</t>
    </r>
    <r>
      <rPr>
        <sz val="12"/>
        <color theme="3" tint="0.39997558519241921"/>
        <rFont val="Osaka"/>
        <charset val="128"/>
      </rPr>
      <t>)(T</t>
    </r>
    <r>
      <rPr>
        <vertAlign val="subscript"/>
        <sz val="12"/>
        <color theme="3" tint="0.39997558519241921"/>
        <rFont val="Osaka"/>
        <charset val="128"/>
      </rPr>
      <t>1</t>
    </r>
    <r>
      <rPr>
        <sz val="12"/>
        <color theme="3" tint="0.39997558519241921"/>
        <rFont val="Osaka"/>
        <charset val="128"/>
      </rPr>
      <t>+T</t>
    </r>
    <r>
      <rPr>
        <vertAlign val="subscript"/>
        <sz val="12"/>
        <color theme="3" tint="0.39997558519241921"/>
        <rFont val="Osaka"/>
        <charset val="128"/>
      </rPr>
      <t>2</t>
    </r>
    <r>
      <rPr>
        <sz val="12"/>
        <color theme="3" tint="0.39997558519241921"/>
        <rFont val="Osaka"/>
        <charset val="128"/>
      </rPr>
      <t>)の（最大値−最小値）/最大値=誤差</t>
    </r>
    <rPh sb="18" eb="21">
      <t>サイダイチ</t>
    </rPh>
    <rPh sb="22" eb="25">
      <t>サイショウチ</t>
    </rPh>
    <rPh sb="27" eb="30">
      <t>サイダイチ</t>
    </rPh>
    <rPh sb="31" eb="33">
      <t>ゴサ</t>
    </rPh>
    <phoneticPr fontId="3"/>
  </si>
  <si>
    <r>
      <t>■(T</t>
    </r>
    <r>
      <rPr>
        <vertAlign val="subscript"/>
        <sz val="12"/>
        <rFont val="Osaka"/>
        <charset val="128"/>
      </rPr>
      <t>1</t>
    </r>
    <r>
      <rPr>
        <vertAlign val="superscript"/>
        <sz val="12"/>
        <rFont val="Osaka"/>
        <charset val="128"/>
      </rPr>
      <t>2</t>
    </r>
    <r>
      <rPr>
        <sz val="12"/>
        <rFont val="Osaka"/>
        <charset val="128"/>
      </rPr>
      <t>+T</t>
    </r>
    <r>
      <rPr>
        <vertAlign val="subscript"/>
        <sz val="12"/>
        <rFont val="Osaka"/>
        <charset val="128"/>
      </rPr>
      <t>2</t>
    </r>
    <r>
      <rPr>
        <vertAlign val="superscript"/>
        <sz val="12"/>
        <rFont val="Osaka"/>
        <charset val="128"/>
      </rPr>
      <t>2</t>
    </r>
    <r>
      <rPr>
        <sz val="12"/>
        <rFont val="Osaka"/>
        <charset val="128"/>
      </rPr>
      <t>)(T</t>
    </r>
    <r>
      <rPr>
        <vertAlign val="subscript"/>
        <sz val="12"/>
        <rFont val="Osaka"/>
        <charset val="128"/>
      </rPr>
      <t>1</t>
    </r>
    <r>
      <rPr>
        <sz val="12"/>
        <rFont val="Osaka"/>
        <charset val="128"/>
      </rPr>
      <t>+T</t>
    </r>
    <r>
      <rPr>
        <vertAlign val="subscript"/>
        <sz val="12"/>
        <rFont val="Osaka"/>
        <charset val="128"/>
      </rPr>
      <t>2</t>
    </r>
    <r>
      <rPr>
        <sz val="12"/>
        <rFont val="Osaka"/>
        <charset val="128"/>
      </rPr>
      <t>)の計算結果</t>
    </r>
    <rPh sb="18" eb="22">
      <t>ケイサンケッカ</t>
    </rPh>
    <phoneticPr fontId="3"/>
  </si>
  <si>
    <r>
      <t>乾球温度：25℃、相対湿度：50%の点から、左に直線を伸ばし、湿度100％の曲線と交わったら、そのときの</t>
    </r>
    <r>
      <rPr>
        <sz val="12"/>
        <color theme="3" tint="0.39997558519241921"/>
        <rFont val="ＭＳ Ｐゴシック"/>
        <charset val="128"/>
      </rPr>
      <t>乾球温度を読み取る</t>
    </r>
    <rPh sb="0" eb="4">
      <t>カンキュウオンド</t>
    </rPh>
    <rPh sb="9" eb="13">
      <t>ソウタイシツド</t>
    </rPh>
    <rPh sb="18" eb="19">
      <t>テン</t>
    </rPh>
    <rPh sb="22" eb="23">
      <t>ヒダリ</t>
    </rPh>
    <rPh sb="24" eb="26">
      <t>チョクセン</t>
    </rPh>
    <rPh sb="27" eb="28">
      <t>ノ</t>
    </rPh>
    <rPh sb="31" eb="33">
      <t>シツド</t>
    </rPh>
    <rPh sb="38" eb="40">
      <t>キョクセン</t>
    </rPh>
    <rPh sb="41" eb="42">
      <t>マジ</t>
    </rPh>
    <rPh sb="52" eb="53">
      <t>カンキュウオンド</t>
    </rPh>
    <rPh sb="53" eb="56">
      <t>キュウオンドウオンド_x0000__x0002_੐յ쳀糬_x0000__x0000__x0000__x0000__x0000_䋦_x0000_䆈_x0000__x0000__x0000__x0000__x0000_䋦_x0000_䆈쳀糬経_x0000__x0000__x0000__x0000__x0000__x0000__x0000__x0000__x0000__x0000_糦_x0000_䀁䀀쳀糬_x0000__x0000_</t>
    </rPh>
    <rPh sb="57" eb="58">
      <t>ヨ</t>
    </rPh>
    <rPh sb="59" eb="60">
      <t>ト</t>
    </rPh>
    <phoneticPr fontId="3"/>
  </si>
  <si>
    <t>（１）露点温度：14℃</t>
    <rPh sb="3" eb="7">
      <t>ロテンオンド</t>
    </rPh>
    <phoneticPr fontId="3"/>
  </si>
  <si>
    <t>（２）気温：25℃</t>
    <rPh sb="3" eb="5">
      <t>キオン</t>
    </rPh>
    <phoneticPr fontId="3"/>
  </si>
  <si>
    <r>
      <t>乾球温度：14℃、相対湿度：80%の点から、右に直線を伸ばし、湿度40％の曲線と交わったら、そのときの</t>
    </r>
    <r>
      <rPr>
        <sz val="12"/>
        <color theme="3" tint="0.39997558519241921"/>
        <rFont val="ＭＳ Ｐゴシック"/>
        <charset val="128"/>
      </rPr>
      <t>乾球温度を読み取る</t>
    </r>
    <rPh sb="0" eb="4">
      <t>カンキュウオンド</t>
    </rPh>
    <rPh sb="9" eb="13">
      <t>ソウタイシツド</t>
    </rPh>
    <rPh sb="18" eb="19">
      <t>テン</t>
    </rPh>
    <rPh sb="22" eb="23">
      <t>ミギ</t>
    </rPh>
    <rPh sb="24" eb="26">
      <t>チョクセン</t>
    </rPh>
    <rPh sb="27" eb="28">
      <t>ノ</t>
    </rPh>
    <rPh sb="31" eb="33">
      <t>シツド</t>
    </rPh>
    <rPh sb="37" eb="39">
      <t>キョクセン</t>
    </rPh>
    <rPh sb="40" eb="41">
      <t>マジ</t>
    </rPh>
    <rPh sb="51" eb="52">
      <t>カンキュウオンド</t>
    </rPh>
    <rPh sb="52" eb="55">
      <t>キュウオンドウオンド_x0000__x0002_੐յ쳀糬_x0000__x0000__x0000__x0000__x0000_䋦_x0000_䆈_x0000__x0000__x0000__x0000__x0000_䋦_x0000_䆈쳀糬経_x0000__x0000__x0000__x0000__x0000__x0000__x0000__x0000__x0000__x0000_糦_x0000_䀁䀀쳀糬_x0000__x0000_</t>
    </rPh>
    <rPh sb="56" eb="57">
      <t>ヨ</t>
    </rPh>
    <rPh sb="58" eb="59">
      <t>ト</t>
    </rPh>
    <phoneticPr fontId="3"/>
  </si>
  <si>
    <t>断熱性能</t>
    <rPh sb="0" eb="2">
      <t>ダンネツ</t>
    </rPh>
    <rPh sb="2" eb="4">
      <t>セイノウ</t>
    </rPh>
    <phoneticPr fontId="2"/>
  </si>
  <si>
    <t>高い</t>
    <rPh sb="0" eb="1">
      <t>タカ</t>
    </rPh>
    <phoneticPr fontId="2"/>
  </si>
  <si>
    <t>低い</t>
    <rPh sb="0" eb="1">
      <t>ヒク</t>
    </rPh>
    <phoneticPr fontId="2"/>
  </si>
  <si>
    <t>暖まり方</t>
    <rPh sb="0" eb="1">
      <t>アタタ</t>
    </rPh>
    <rPh sb="3" eb="4">
      <t>カタ</t>
    </rPh>
    <phoneticPr fontId="2"/>
  </si>
  <si>
    <t>急</t>
    <rPh sb="0" eb="1">
      <t>キュウ</t>
    </rPh>
    <phoneticPr fontId="2"/>
  </si>
  <si>
    <t>緩やか</t>
    <rPh sb="0" eb="1">
      <t>ユル</t>
    </rPh>
    <phoneticPr fontId="2"/>
  </si>
  <si>
    <t>冷え方</t>
    <rPh sb="0" eb="1">
      <t>ヒ</t>
    </rPh>
    <rPh sb="2" eb="3">
      <t>カタ</t>
    </rPh>
    <phoneticPr fontId="2"/>
  </si>
  <si>
    <t>熱容量</t>
    <rPh sb="0" eb="3">
      <t>ネツヨウリョウ</t>
    </rPh>
    <phoneticPr fontId="2"/>
  </si>
  <si>
    <t>大きい</t>
    <rPh sb="0" eb="1">
      <t>オオ</t>
    </rPh>
    <phoneticPr fontId="2"/>
  </si>
  <si>
    <t>小さい</t>
    <rPh sb="0" eb="1">
      <t>チイ</t>
    </rPh>
    <phoneticPr fontId="2"/>
  </si>
  <si>
    <t>緩やか＋急</t>
    <rPh sb="0" eb="1">
      <t>ユル</t>
    </rPh>
    <rPh sb="4" eb="5">
      <t>キュウ</t>
    </rPh>
    <phoneticPr fontId="2"/>
  </si>
  <si>
    <t>緩やか＋緩やか</t>
    <rPh sb="0" eb="1">
      <t>ユル</t>
    </rPh>
    <rPh sb="4" eb="5">
      <t>ユル</t>
    </rPh>
    <phoneticPr fontId="2"/>
  </si>
  <si>
    <t>急＋急</t>
    <rPh sb="0" eb="1">
      <t>キュウ</t>
    </rPh>
    <rPh sb="2" eb="3">
      <t>キュウ</t>
    </rPh>
    <phoneticPr fontId="2"/>
  </si>
  <si>
    <t>急＋緩やか</t>
    <rPh sb="0" eb="1">
      <t>キュウ</t>
    </rPh>
    <rPh sb="2" eb="3">
      <t>ユル</t>
    </rPh>
    <phoneticPr fontId="2"/>
  </si>
  <si>
    <t>→ア</t>
    <phoneticPr fontId="2"/>
  </si>
  <si>
    <t>→エ</t>
    <phoneticPr fontId="2"/>
  </si>
  <si>
    <t>→イ</t>
    <phoneticPr fontId="2"/>
  </si>
  <si>
    <t>→ウ</t>
    <phoneticPr fontId="2"/>
  </si>
  <si>
    <t>高断熱・低熱容量</t>
    <rPh sb="0" eb="1">
      <t>コウ</t>
    </rPh>
    <rPh sb="1" eb="3">
      <t>テイダンネツ</t>
    </rPh>
    <phoneticPr fontId="2"/>
  </si>
  <si>
    <t>高断熱・高熱容量</t>
    <rPh sb="4" eb="8">
      <t>コウネツヨウリョウ</t>
    </rPh>
    <phoneticPr fontId="2"/>
  </si>
  <si>
    <t>低断熱・高熱容量</t>
    <rPh sb="0" eb="3">
      <t>テイダンネツ</t>
    </rPh>
    <phoneticPr fontId="2"/>
  </si>
  <si>
    <t>低断熱・低熱容量</t>
    <rPh sb="4" eb="5">
      <t>テイ</t>
    </rPh>
    <rPh sb="5" eb="8">
      <t>コウネツヨウリョウ</t>
    </rPh>
    <phoneticPr fontId="2"/>
  </si>
  <si>
    <t>急＋緩やか</t>
    <rPh sb="0" eb="1">
      <t>キュウ</t>
    </rPh>
    <phoneticPr fontId="2"/>
  </si>
  <si>
    <t>緩やか＋急</t>
    <rPh sb="4" eb="5">
      <t>キュウ</t>
    </rPh>
    <phoneticPr fontId="2"/>
  </si>
  <si>
    <t>エ</t>
    <phoneticPr fontId="2"/>
  </si>
  <si>
    <t>ア</t>
    <phoneticPr fontId="2"/>
  </si>
  <si>
    <t>×4,446kcal</t>
    <phoneticPr fontId="3"/>
  </si>
  <si>
    <r>
      <t>kcal/(m</t>
    </r>
    <r>
      <rPr>
        <vertAlign val="superscript"/>
        <sz val="12"/>
        <rFont val="ヒラギノ角ゴ Pro W3"/>
        <charset val="128"/>
      </rPr>
      <t>2</t>
    </r>
    <r>
      <rPr>
        <sz val="12"/>
        <rFont val="ヒラギノ角ゴ Pro W3"/>
        <charset val="128"/>
      </rPr>
      <t>･K･h)</t>
    </r>
    <phoneticPr fontId="3"/>
  </si>
  <si>
    <t>解説10</t>
    <rPh sb="0" eb="2">
      <t>カイセツ</t>
    </rPh>
    <phoneticPr fontId="2"/>
  </si>
  <si>
    <t>Column</t>
    <phoneticPr fontId="2"/>
  </si>
  <si>
    <r>
      <t>人体から放散されるCO</t>
    </r>
    <r>
      <rPr>
        <vertAlign val="subscript"/>
        <sz val="11"/>
        <rFont val="ＭＳ Ｐゴシック"/>
        <charset val="128"/>
      </rPr>
      <t>2</t>
    </r>
    <rPh sb="0" eb="2">
      <t>ジンタイ</t>
    </rPh>
    <rPh sb="4" eb="6">
      <t>ホウサン</t>
    </rPh>
    <phoneticPr fontId="3"/>
  </si>
  <si>
    <t>人数</t>
    <rPh sb="0" eb="2">
      <t>ニンズウ</t>
    </rPh>
    <phoneticPr fontId="3"/>
  </si>
  <si>
    <t>目標二酸化炭素濃度</t>
    <rPh sb="0" eb="2">
      <t>モクヒョウ</t>
    </rPh>
    <rPh sb="2" eb="7">
      <t>ニサンカタンソ</t>
    </rPh>
    <rPh sb="7" eb="9">
      <t>ノウド</t>
    </rPh>
    <phoneticPr fontId="3"/>
  </si>
  <si>
    <t>新鮮空気二酸化炭素濃度</t>
    <rPh sb="0" eb="4">
      <t>シンセンクウキ</t>
    </rPh>
    <rPh sb="4" eb="11">
      <t>ニサンカタンソノウド</t>
    </rPh>
    <phoneticPr fontId="3"/>
  </si>
  <si>
    <t>延べ床面積</t>
    <rPh sb="0" eb="1">
      <t>ノ</t>
    </rPh>
    <rPh sb="2" eb="5">
      <t>ユカメンセキ</t>
    </rPh>
    <phoneticPr fontId="3"/>
  </si>
  <si>
    <t>階高</t>
    <rPh sb="0" eb="2">
      <t>カイダカ</t>
    </rPh>
    <phoneticPr fontId="3"/>
  </si>
  <si>
    <t>換気回数</t>
    <rPh sb="0" eb="4">
      <t>カンキカイスウ</t>
    </rPh>
    <phoneticPr fontId="3"/>
  </si>
  <si>
    <t>畳</t>
    <rPh sb="0" eb="1">
      <t>ジョウ</t>
    </rPh>
    <phoneticPr fontId="2"/>
  </si>
  <si>
    <t>床面積</t>
    <rPh sb="0" eb="3">
      <t>ユカメンセキ</t>
    </rPh>
    <phoneticPr fontId="3"/>
  </si>
  <si>
    <t>■太陽位置の計算</t>
    <rPh sb="1" eb="5">
      <t>タイヨウイチ</t>
    </rPh>
    <rPh sb="6" eb="8">
      <t>ケイサン</t>
    </rPh>
    <phoneticPr fontId="3"/>
  </si>
  <si>
    <t>Challenge解説を参照してください</t>
    <rPh sb="9" eb="11">
      <t>カイセツ</t>
    </rPh>
    <rPh sb="12" eb="14">
      <t>サンショウ</t>
    </rPh>
    <phoneticPr fontId="2"/>
  </si>
  <si>
    <r>
      <t>m</t>
    </r>
    <r>
      <rPr>
        <vertAlign val="superscript"/>
        <sz val="12"/>
        <rFont val="ヒラギノ角ゴ Pro W3"/>
        <charset val="128"/>
      </rPr>
      <t>２</t>
    </r>
    <r>
      <rPr>
        <sz val="12"/>
        <rFont val="ヒラギノ角ゴ Pro W3"/>
        <charset val="128"/>
      </rPr>
      <t>・h・mmHg/ｇ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</si>
</sst>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0"/>
    <numFmt numFmtId="179" formatCode="0.0"/>
    <numFmt numFmtId="180" formatCode="0.0%"/>
  </numFmts>
  <fonts count="24" x14ac:knownFonts="1">
    <font>
      <sz val="12"/>
      <name val="Osaka"/>
      <charset val="128"/>
    </font>
    <font>
      <sz val="12"/>
      <name val="Osaka"/>
      <charset val="128"/>
    </font>
    <font>
      <sz val="6"/>
      <name val="Osaka"/>
      <family val="3"/>
      <charset val="128"/>
    </font>
    <font>
      <sz val="6"/>
      <name val="ヒラギノ角ゴ Pro W3"/>
      <charset val="128"/>
    </font>
    <font>
      <sz val="11"/>
      <name val="ＭＳ Ｐゴシック"/>
      <charset val="128"/>
    </font>
    <font>
      <sz val="10"/>
      <name val="Osaka"/>
      <family val="3"/>
      <charset val="128"/>
    </font>
    <font>
      <vertAlign val="superscript"/>
      <sz val="12"/>
      <name val="Osaka"/>
      <charset val="128"/>
    </font>
    <font>
      <sz val="10"/>
      <name val="ヒラギノ角ゴ Pro W3"/>
      <charset val="128"/>
    </font>
    <font>
      <sz val="12"/>
      <name val="ヒラギノ角ゴ Pro W3"/>
      <charset val="128"/>
    </font>
    <font>
      <vertAlign val="subscript"/>
      <sz val="12"/>
      <name val="ヒラギノ角ゴ Pro W3"/>
      <charset val="128"/>
    </font>
    <font>
      <vertAlign val="superscript"/>
      <sz val="12"/>
      <name val="ヒラギノ角ゴ Pro W3"/>
      <charset val="128"/>
    </font>
    <font>
      <sz val="11"/>
      <name val="ヒラギノ角ゴ Pro W3"/>
      <charset val="128"/>
    </font>
    <font>
      <vertAlign val="superscript"/>
      <sz val="11"/>
      <name val="ヒラギノ角ゴ Pro W3"/>
      <charset val="128"/>
    </font>
    <font>
      <sz val="9"/>
      <name val="ヒラギノ角ゴ Pro W3"/>
      <charset val="128"/>
    </font>
    <font>
      <vertAlign val="subscript"/>
      <sz val="9"/>
      <name val="ヒラギノ角ゴ Pro W3"/>
      <charset val="128"/>
    </font>
    <font>
      <vertAlign val="subscript"/>
      <sz val="12"/>
      <name val="Osaka"/>
      <charset val="128"/>
    </font>
    <font>
      <vertAlign val="subscript"/>
      <sz val="11"/>
      <name val="ＭＳ Ｐゴシック"/>
      <charset val="128"/>
    </font>
    <font>
      <sz val="12"/>
      <color theme="3" tint="0.39997558519241921"/>
      <name val="Osaka"/>
      <charset val="128"/>
    </font>
    <font>
      <vertAlign val="subscript"/>
      <sz val="12"/>
      <color theme="3" tint="0.39997558519241921"/>
      <name val="Osaka"/>
      <charset val="128"/>
    </font>
    <font>
      <vertAlign val="superscript"/>
      <sz val="12"/>
      <color theme="3" tint="0.39997558519241921"/>
      <name val="Osaka"/>
      <charset val="128"/>
    </font>
    <font>
      <sz val="12"/>
      <color theme="3" tint="0.39997558519241921"/>
      <name val="ＭＳ Ｐゴシック"/>
      <charset val="128"/>
    </font>
    <font>
      <u/>
      <sz val="12"/>
      <color theme="10"/>
      <name val="Osaka"/>
      <charset val="128"/>
    </font>
    <font>
      <u/>
      <sz val="12"/>
      <color theme="11"/>
      <name val="Osaka"/>
      <charset val="128"/>
    </font>
    <font>
      <sz val="12"/>
      <color theme="3" tint="0.39997558519241921"/>
      <name val="ヒラギノ角ゴ Pro W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81">
    <xf numFmtId="0" fontId="0" fillId="0" borderId="0" xfId="0"/>
    <xf numFmtId="11" fontId="5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right"/>
    </xf>
    <xf numFmtId="179" fontId="8" fillId="0" borderId="0" xfId="0" applyNumberFormat="1" applyFont="1" applyAlignment="1">
      <alignment horizontal="right"/>
    </xf>
    <xf numFmtId="179" fontId="8" fillId="0" borderId="0" xfId="0" applyNumberFormat="1" applyFont="1"/>
    <xf numFmtId="178" fontId="8" fillId="0" borderId="0" xfId="0" applyNumberFormat="1" applyFont="1"/>
    <xf numFmtId="0" fontId="8" fillId="0" borderId="0" xfId="0" applyFont="1" applyAlignment="1">
      <alignment horizontal="right"/>
    </xf>
    <xf numFmtId="178" fontId="8" fillId="0" borderId="0" xfId="0" applyNumberFormat="1" applyFont="1" applyFill="1"/>
    <xf numFmtId="1" fontId="8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79" fontId="11" fillId="0" borderId="0" xfId="0" applyNumberFormat="1" applyFont="1"/>
    <xf numFmtId="178" fontId="11" fillId="0" borderId="0" xfId="0" applyNumberFormat="1" applyFont="1"/>
    <xf numFmtId="0" fontId="11" fillId="2" borderId="0" xfId="0" applyFont="1" applyFill="1"/>
    <xf numFmtId="178" fontId="11" fillId="2" borderId="0" xfId="0" applyNumberFormat="1" applyFont="1" applyFill="1"/>
    <xf numFmtId="179" fontId="11" fillId="2" borderId="0" xfId="0" applyNumberFormat="1" applyFont="1" applyFill="1"/>
    <xf numFmtId="0" fontId="13" fillId="2" borderId="0" xfId="0" applyFont="1" applyFill="1"/>
    <xf numFmtId="0" fontId="13" fillId="3" borderId="1" xfId="0" applyFont="1" applyFill="1" applyBorder="1"/>
    <xf numFmtId="0" fontId="11" fillId="3" borderId="1" xfId="0" applyFont="1" applyFill="1" applyBorder="1"/>
    <xf numFmtId="178" fontId="11" fillId="3" borderId="1" xfId="0" applyNumberFormat="1" applyFont="1" applyFill="1" applyBorder="1"/>
    <xf numFmtId="179" fontId="11" fillId="3" borderId="1" xfId="0" applyNumberFormat="1" applyFont="1" applyFill="1" applyBorder="1"/>
    <xf numFmtId="0" fontId="13" fillId="3" borderId="2" xfId="0" applyFont="1" applyFill="1" applyBorder="1"/>
    <xf numFmtId="0" fontId="11" fillId="3" borderId="2" xfId="0" applyFont="1" applyFill="1" applyBorder="1"/>
    <xf numFmtId="178" fontId="11" fillId="3" borderId="2" xfId="0" applyNumberFormat="1" applyFont="1" applyFill="1" applyBorder="1"/>
    <xf numFmtId="179" fontId="11" fillId="3" borderId="2" xfId="0" applyNumberFormat="1" applyFont="1" applyFill="1" applyBorder="1"/>
    <xf numFmtId="0" fontId="13" fillId="3" borderId="3" xfId="0" applyFont="1" applyFill="1" applyBorder="1"/>
    <xf numFmtId="0" fontId="11" fillId="3" borderId="3" xfId="0" applyFont="1" applyFill="1" applyBorder="1"/>
    <xf numFmtId="178" fontId="11" fillId="3" borderId="3" xfId="0" applyNumberFormat="1" applyFont="1" applyFill="1" applyBorder="1"/>
    <xf numFmtId="179" fontId="11" fillId="3" borderId="3" xfId="0" applyNumberFormat="1" applyFont="1" applyFill="1" applyBorder="1"/>
    <xf numFmtId="178" fontId="11" fillId="2" borderId="0" xfId="0" applyNumberFormat="1" applyFont="1" applyFill="1"/>
    <xf numFmtId="0" fontId="4" fillId="0" borderId="0" xfId="2"/>
    <xf numFmtId="0" fontId="4" fillId="0" borderId="0" xfId="2" applyAlignment="1">
      <alignment horizontal="center"/>
    </xf>
    <xf numFmtId="179" fontId="5" fillId="0" borderId="0" xfId="0" applyNumberFormat="1" applyFont="1"/>
    <xf numFmtId="0" fontId="0" fillId="0" borderId="0" xfId="0" applyAlignment="1">
      <alignment horizontal="center" vertical="top"/>
    </xf>
    <xf numFmtId="0" fontId="4" fillId="0" borderId="4" xfId="2" applyBorder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11" fillId="3" borderId="2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3" xfId="0" applyFont="1" applyFill="1" applyBorder="1" applyAlignment="1">
      <alignment horizontal="center" vertical="top"/>
    </xf>
    <xf numFmtId="2" fontId="8" fillId="0" borderId="0" xfId="0" applyNumberFormat="1" applyFont="1" applyAlignment="1">
      <alignment horizontal="right"/>
    </xf>
    <xf numFmtId="2" fontId="8" fillId="0" borderId="0" xfId="0" applyNumberFormat="1" applyFont="1"/>
    <xf numFmtId="2" fontId="11" fillId="2" borderId="0" xfId="0" applyNumberFormat="1" applyFont="1" applyFill="1"/>
    <xf numFmtId="2" fontId="11" fillId="0" borderId="0" xfId="0" applyNumberFormat="1" applyFont="1"/>
    <xf numFmtId="2" fontId="11" fillId="3" borderId="2" xfId="0" applyNumberFormat="1" applyFont="1" applyFill="1" applyBorder="1"/>
    <xf numFmtId="2" fontId="11" fillId="3" borderId="1" xfId="0" applyNumberFormat="1" applyFont="1" applyFill="1" applyBorder="1"/>
    <xf numFmtId="2" fontId="11" fillId="3" borderId="3" xfId="0" applyNumberFormat="1" applyFont="1" applyFill="1" applyBorder="1"/>
    <xf numFmtId="9" fontId="11" fillId="2" borderId="0" xfId="1" applyFont="1" applyFill="1"/>
    <xf numFmtId="9" fontId="11" fillId="3" borderId="2" xfId="1" applyFont="1" applyFill="1" applyBorder="1"/>
    <xf numFmtId="9" fontId="11" fillId="3" borderId="1" xfId="1" applyFont="1" applyFill="1" applyBorder="1"/>
    <xf numFmtId="9" fontId="11" fillId="3" borderId="3" xfId="1" applyFont="1" applyFill="1" applyBorder="1"/>
    <xf numFmtId="0" fontId="8" fillId="0" borderId="0" xfId="0" applyFont="1" applyBorder="1"/>
    <xf numFmtId="0" fontId="11" fillId="3" borderId="0" xfId="0" applyFont="1" applyFill="1" applyBorder="1"/>
    <xf numFmtId="0" fontId="11" fillId="3" borderId="1" xfId="0" applyNumberFormat="1" applyFont="1" applyFill="1" applyBorder="1"/>
    <xf numFmtId="0" fontId="11" fillId="0" borderId="0" xfId="0" applyFont="1" applyAlignment="1">
      <alignment horizontal="right" vertical="top"/>
    </xf>
    <xf numFmtId="0" fontId="11" fillId="2" borderId="0" xfId="0" applyNumberFormat="1" applyFont="1" applyFill="1"/>
    <xf numFmtId="0" fontId="0" fillId="4" borderId="0" xfId="0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7" fillId="0" borderId="0" xfId="0" applyFont="1"/>
    <xf numFmtId="0" fontId="0" fillId="0" borderId="11" xfId="0" applyBorder="1" applyAlignment="1">
      <alignment horizontal="center" vertical="top"/>
    </xf>
    <xf numFmtId="0" fontId="0" fillId="0" borderId="11" xfId="0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2" xfId="0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right"/>
    </xf>
    <xf numFmtId="180" fontId="5" fillId="5" borderId="4" xfId="1" applyNumberFormat="1" applyFont="1" applyFill="1" applyBorder="1"/>
    <xf numFmtId="0" fontId="4" fillId="5" borderId="4" xfId="2" applyFill="1" applyBorder="1"/>
    <xf numFmtId="0" fontId="23" fillId="0" borderId="0" xfId="0" applyFont="1"/>
    <xf numFmtId="1" fontId="8" fillId="0" borderId="4" xfId="0" applyNumberFormat="1" applyFont="1" applyBorder="1"/>
    <xf numFmtId="0" fontId="8" fillId="0" borderId="4" xfId="0" applyFont="1" applyBorder="1"/>
    <xf numFmtId="0" fontId="4" fillId="0" borderId="0" xfId="2" applyAlignment="1">
      <alignment horizontal="center" wrapText="1"/>
    </xf>
    <xf numFmtId="179" fontId="4" fillId="5" borderId="4" xfId="2" applyNumberFormat="1" applyFill="1" applyBorder="1"/>
  </cellXfs>
  <cellStyles count="65">
    <cellStyle name="パーセント" xfId="1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標準" xfId="0" builtinId="0"/>
    <cellStyle name="標準 2" xfId="2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5</xdr:row>
      <xdr:rowOff>12700</xdr:rowOff>
    </xdr:from>
    <xdr:to>
      <xdr:col>8</xdr:col>
      <xdr:colOff>1079500</xdr:colOff>
      <xdr:row>14</xdr:row>
      <xdr:rowOff>114300</xdr:rowOff>
    </xdr:to>
    <xdr:pic>
      <xdr:nvPicPr>
        <xdr:cNvPr id="2667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155700"/>
          <a:ext cx="8356600" cy="215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223520</xdr:colOff>
      <xdr:row>13</xdr:row>
      <xdr:rowOff>96520</xdr:rowOff>
    </xdr:from>
    <xdr:to>
      <xdr:col>5</xdr:col>
      <xdr:colOff>1046480</xdr:colOff>
      <xdr:row>17</xdr:row>
      <xdr:rowOff>5080</xdr:rowOff>
    </xdr:to>
    <xdr:sp macro="" textlink="">
      <xdr:nvSpPr>
        <xdr:cNvPr id="2" name="右矢印 1"/>
        <xdr:cNvSpPr/>
      </xdr:nvSpPr>
      <xdr:spPr bwMode="auto">
        <a:xfrm>
          <a:off x="4236720" y="4211320"/>
          <a:ext cx="822960" cy="822960"/>
        </a:xfrm>
        <a:prstGeom prst="rightArrow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"/>
  <sheetViews>
    <sheetView tabSelected="1" workbookViewId="0"/>
  </sheetViews>
  <sheetFormatPr baseColWidth="12" defaultRowHeight="18" x14ac:dyDescent="0"/>
  <cols>
    <col min="1" max="2" width="3.375" customWidth="1"/>
  </cols>
  <sheetData>
    <row r="3" spans="3:3">
      <c r="C3" t="s">
        <v>45</v>
      </c>
    </row>
  </sheetData>
  <phoneticPr fontId="2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0"/>
  <sheetViews>
    <sheetView workbookViewId="0"/>
  </sheetViews>
  <sheetFormatPr baseColWidth="12" defaultColWidth="2.625" defaultRowHeight="18" x14ac:dyDescent="0"/>
  <cols>
    <col min="1" max="1" width="3.625" customWidth="1"/>
    <col min="2" max="2" width="4.75" customWidth="1"/>
    <col min="3" max="3" width="5.125" customWidth="1"/>
    <col min="4" max="4" width="3.125" bestFit="1" customWidth="1"/>
  </cols>
  <sheetData>
    <row r="3" spans="2:26">
      <c r="C3" t="s">
        <v>37</v>
      </c>
    </row>
    <row r="4" spans="2:26">
      <c r="C4" t="s">
        <v>38</v>
      </c>
    </row>
    <row r="6" spans="2:26">
      <c r="D6" s="63"/>
      <c r="E6" s="64"/>
      <c r="F6" s="64"/>
      <c r="G6" s="64"/>
      <c r="H6" s="64"/>
      <c r="I6" s="64"/>
      <c r="J6" s="64"/>
      <c r="K6" s="64"/>
      <c r="L6" s="64"/>
      <c r="M6" s="64"/>
      <c r="N6" s="64" t="s">
        <v>0</v>
      </c>
      <c r="O6" s="64"/>
      <c r="P6" s="64"/>
      <c r="Q6" s="64"/>
      <c r="R6" s="64"/>
      <c r="S6" s="64"/>
      <c r="T6" s="64"/>
      <c r="U6" s="64"/>
      <c r="V6" s="64"/>
      <c r="W6" s="64"/>
      <c r="X6" s="65"/>
    </row>
    <row r="7" spans="2:26">
      <c r="D7" s="59">
        <v>15</v>
      </c>
      <c r="E7" s="59">
        <v>16</v>
      </c>
      <c r="F7" s="59">
        <v>17</v>
      </c>
      <c r="G7" s="59">
        <v>18</v>
      </c>
      <c r="H7" s="59">
        <v>19</v>
      </c>
      <c r="I7" s="59">
        <v>20</v>
      </c>
      <c r="J7" s="59">
        <v>21</v>
      </c>
      <c r="K7" s="59">
        <v>22</v>
      </c>
      <c r="L7" s="59">
        <v>23</v>
      </c>
      <c r="M7" s="59">
        <v>24</v>
      </c>
      <c r="N7" s="59">
        <v>25</v>
      </c>
      <c r="O7" s="59">
        <v>26</v>
      </c>
      <c r="P7" s="59">
        <v>27</v>
      </c>
      <c r="Q7" s="59">
        <v>28</v>
      </c>
      <c r="R7" s="59">
        <v>29</v>
      </c>
      <c r="S7" s="59">
        <v>30</v>
      </c>
      <c r="T7" s="59">
        <v>31</v>
      </c>
      <c r="U7" s="59">
        <v>32</v>
      </c>
      <c r="V7" s="59">
        <v>33</v>
      </c>
      <c r="W7" s="59">
        <v>34</v>
      </c>
      <c r="X7" s="59">
        <v>35</v>
      </c>
    </row>
    <row r="8" spans="2:26">
      <c r="B8" s="60"/>
      <c r="C8" s="59">
        <v>100</v>
      </c>
      <c r="D8">
        <f>0.81*D$7+0.01*$C8*(0.99*D$7-14.3)+46.3</f>
        <v>59</v>
      </c>
      <c r="E8">
        <f t="shared" ref="E8:X18" si="0">0.81*E$7+0.01*$C8*(0.99*E$7-14.3)+46.3</f>
        <v>60.8</v>
      </c>
      <c r="F8">
        <f t="shared" si="0"/>
        <v>62.599999999999994</v>
      </c>
      <c r="G8">
        <f t="shared" si="0"/>
        <v>64.400000000000006</v>
      </c>
      <c r="H8">
        <f t="shared" si="0"/>
        <v>66.199999999999989</v>
      </c>
      <c r="I8">
        <f t="shared" si="0"/>
        <v>68</v>
      </c>
      <c r="J8">
        <f t="shared" si="0"/>
        <v>69.8</v>
      </c>
      <c r="K8">
        <f t="shared" si="0"/>
        <v>71.599999999999994</v>
      </c>
      <c r="L8">
        <f t="shared" si="0"/>
        <v>73.400000000000006</v>
      </c>
      <c r="M8">
        <f t="shared" si="0"/>
        <v>75.199999999999989</v>
      </c>
      <c r="N8">
        <f t="shared" si="0"/>
        <v>77</v>
      </c>
      <c r="O8">
        <f t="shared" si="0"/>
        <v>78.8</v>
      </c>
      <c r="P8">
        <f t="shared" si="0"/>
        <v>80.599999999999994</v>
      </c>
      <c r="Q8">
        <f t="shared" si="0"/>
        <v>82.399999999999991</v>
      </c>
      <c r="R8">
        <f t="shared" si="0"/>
        <v>84.2</v>
      </c>
      <c r="S8">
        <f t="shared" si="0"/>
        <v>86</v>
      </c>
      <c r="T8">
        <f t="shared" si="0"/>
        <v>87.8</v>
      </c>
      <c r="U8">
        <f t="shared" si="0"/>
        <v>89.6</v>
      </c>
      <c r="V8">
        <f t="shared" si="0"/>
        <v>91.4</v>
      </c>
      <c r="W8">
        <f t="shared" si="0"/>
        <v>93.199999999999989</v>
      </c>
      <c r="X8">
        <f t="shared" si="0"/>
        <v>95</v>
      </c>
    </row>
    <row r="9" spans="2:26">
      <c r="B9" s="61"/>
      <c r="C9" s="59">
        <v>90</v>
      </c>
      <c r="D9">
        <f>0.81*D$7+0.01*$C9*(0.99*D$7-14.3)+46.3</f>
        <v>58.944999999999993</v>
      </c>
      <c r="E9">
        <f t="shared" si="0"/>
        <v>60.646000000000001</v>
      </c>
      <c r="F9">
        <f t="shared" si="0"/>
        <v>62.346999999999994</v>
      </c>
      <c r="G9">
        <f t="shared" si="0"/>
        <v>64.048000000000002</v>
      </c>
      <c r="H9">
        <f t="shared" si="0"/>
        <v>65.748999999999995</v>
      </c>
      <c r="I9">
        <f t="shared" si="0"/>
        <v>67.45</v>
      </c>
      <c r="J9">
        <f t="shared" si="0"/>
        <v>69.150999999999996</v>
      </c>
      <c r="K9">
        <f t="shared" si="0"/>
        <v>70.852000000000004</v>
      </c>
      <c r="L9">
        <f t="shared" si="0"/>
        <v>72.552999999999997</v>
      </c>
      <c r="M9">
        <f t="shared" si="0"/>
        <v>74.253999999999991</v>
      </c>
      <c r="N9">
        <f t="shared" si="0"/>
        <v>75.954999999999998</v>
      </c>
      <c r="O9">
        <f t="shared" si="0"/>
        <v>77.656000000000006</v>
      </c>
      <c r="P9">
        <f t="shared" si="0"/>
        <v>79.356999999999999</v>
      </c>
      <c r="Q9">
        <f t="shared" si="0"/>
        <v>81.057999999999993</v>
      </c>
      <c r="R9">
        <f t="shared" si="0"/>
        <v>82.759</v>
      </c>
      <c r="S9">
        <f t="shared" si="0"/>
        <v>84.46</v>
      </c>
      <c r="T9">
        <f t="shared" si="0"/>
        <v>86.161000000000001</v>
      </c>
      <c r="U9">
        <f t="shared" si="0"/>
        <v>87.861999999999995</v>
      </c>
      <c r="V9">
        <f t="shared" si="0"/>
        <v>89.563000000000002</v>
      </c>
      <c r="W9">
        <f t="shared" si="0"/>
        <v>91.263999999999996</v>
      </c>
      <c r="X9">
        <f t="shared" si="0"/>
        <v>92.965000000000003</v>
      </c>
      <c r="Z9" s="66" t="s">
        <v>79</v>
      </c>
    </row>
    <row r="10" spans="2:26">
      <c r="B10" s="61"/>
      <c r="C10" s="59">
        <v>80</v>
      </c>
      <c r="D10">
        <f t="shared" ref="D10:D18" si="1">0.81*D$7+0.01*$C10*(0.99*D$7-14.3)+46.3</f>
        <v>58.89</v>
      </c>
      <c r="E10">
        <f t="shared" si="0"/>
        <v>60.491999999999997</v>
      </c>
      <c r="F10">
        <f t="shared" si="0"/>
        <v>62.093999999999994</v>
      </c>
      <c r="G10">
        <f t="shared" si="0"/>
        <v>63.695999999999998</v>
      </c>
      <c r="H10">
        <f t="shared" si="0"/>
        <v>65.298000000000002</v>
      </c>
      <c r="I10">
        <f t="shared" si="0"/>
        <v>66.900000000000006</v>
      </c>
      <c r="J10">
        <f t="shared" si="0"/>
        <v>68.501999999999995</v>
      </c>
      <c r="K10">
        <f t="shared" si="0"/>
        <v>70.103999999999999</v>
      </c>
      <c r="L10">
        <f t="shared" si="0"/>
        <v>71.706000000000003</v>
      </c>
      <c r="M10">
        <f t="shared" si="0"/>
        <v>73.307999999999993</v>
      </c>
      <c r="N10">
        <f t="shared" si="0"/>
        <v>74.91</v>
      </c>
      <c r="O10">
        <f t="shared" si="0"/>
        <v>76.512</v>
      </c>
      <c r="P10">
        <f t="shared" si="0"/>
        <v>78.114000000000004</v>
      </c>
      <c r="Q10">
        <f t="shared" si="0"/>
        <v>79.715999999999994</v>
      </c>
      <c r="R10">
        <f t="shared" si="0"/>
        <v>81.317999999999998</v>
      </c>
      <c r="S10">
        <f t="shared" si="0"/>
        <v>82.92</v>
      </c>
      <c r="T10">
        <f t="shared" si="0"/>
        <v>84.522000000000006</v>
      </c>
      <c r="U10">
        <f t="shared" si="0"/>
        <v>86.123999999999995</v>
      </c>
      <c r="V10">
        <f t="shared" si="0"/>
        <v>87.725999999999999</v>
      </c>
      <c r="W10">
        <f t="shared" si="0"/>
        <v>89.328000000000003</v>
      </c>
      <c r="X10">
        <f t="shared" si="0"/>
        <v>90.929999999999993</v>
      </c>
    </row>
    <row r="11" spans="2:26">
      <c r="B11" s="61"/>
      <c r="C11" s="59">
        <v>70</v>
      </c>
      <c r="D11">
        <f>0.81*D$7+0.01*$C11*(0.99*D$7-14.3)+46.3</f>
        <v>58.834999999999994</v>
      </c>
      <c r="E11">
        <f t="shared" si="0"/>
        <v>60.337999999999994</v>
      </c>
      <c r="F11">
        <f t="shared" si="0"/>
        <v>61.840999999999994</v>
      </c>
      <c r="G11">
        <f t="shared" si="0"/>
        <v>63.343999999999994</v>
      </c>
      <c r="H11">
        <f>0.81*H$7+0.01*$C11*(0.99*H$7-14.3)+46.3</f>
        <v>64.846999999999994</v>
      </c>
      <c r="I11">
        <f t="shared" si="0"/>
        <v>66.349999999999994</v>
      </c>
      <c r="J11">
        <f t="shared" si="0"/>
        <v>67.852999999999994</v>
      </c>
      <c r="K11">
        <f t="shared" si="0"/>
        <v>69.355999999999995</v>
      </c>
      <c r="L11">
        <f t="shared" si="0"/>
        <v>70.858999999999995</v>
      </c>
      <c r="M11">
        <f t="shared" si="0"/>
        <v>72.361999999999995</v>
      </c>
      <c r="N11">
        <f t="shared" si="0"/>
        <v>73.864999999999995</v>
      </c>
      <c r="O11">
        <f t="shared" si="0"/>
        <v>75.367999999999995</v>
      </c>
      <c r="P11">
        <f t="shared" si="0"/>
        <v>76.870999999999995</v>
      </c>
      <c r="Q11">
        <f t="shared" si="0"/>
        <v>78.373999999999995</v>
      </c>
      <c r="R11">
        <f t="shared" si="0"/>
        <v>79.87700000000001</v>
      </c>
      <c r="S11">
        <f t="shared" si="0"/>
        <v>81.38</v>
      </c>
      <c r="T11">
        <f t="shared" si="0"/>
        <v>82.88300000000001</v>
      </c>
      <c r="U11">
        <f t="shared" si="0"/>
        <v>84.385999999999996</v>
      </c>
      <c r="V11">
        <f t="shared" si="0"/>
        <v>85.888999999999996</v>
      </c>
      <c r="W11">
        <f t="shared" si="0"/>
        <v>87.391999999999996</v>
      </c>
      <c r="X11">
        <f t="shared" si="0"/>
        <v>88.894999999999996</v>
      </c>
    </row>
    <row r="12" spans="2:26">
      <c r="B12" s="61" t="s">
        <v>77</v>
      </c>
      <c r="C12" s="59">
        <v>60</v>
      </c>
      <c r="D12">
        <f t="shared" si="1"/>
        <v>58.78</v>
      </c>
      <c r="E12">
        <f t="shared" si="0"/>
        <v>60.183999999999997</v>
      </c>
      <c r="F12">
        <f t="shared" si="0"/>
        <v>61.587999999999994</v>
      </c>
      <c r="G12">
        <f t="shared" si="0"/>
        <v>62.991999999999997</v>
      </c>
      <c r="H12">
        <f t="shared" si="0"/>
        <v>64.396000000000001</v>
      </c>
      <c r="I12">
        <f t="shared" si="0"/>
        <v>65.8</v>
      </c>
      <c r="J12">
        <f t="shared" si="0"/>
        <v>67.203999999999994</v>
      </c>
      <c r="K12">
        <f t="shared" si="0"/>
        <v>68.608000000000004</v>
      </c>
      <c r="L12">
        <f t="shared" si="0"/>
        <v>70.012</v>
      </c>
      <c r="M12">
        <f t="shared" si="0"/>
        <v>71.415999999999997</v>
      </c>
      <c r="N12">
        <f t="shared" si="0"/>
        <v>72.819999999999993</v>
      </c>
      <c r="O12">
        <f t="shared" si="0"/>
        <v>74.22399999999999</v>
      </c>
      <c r="P12">
        <f t="shared" si="0"/>
        <v>75.628</v>
      </c>
      <c r="Q12">
        <f t="shared" si="0"/>
        <v>77.031999999999996</v>
      </c>
      <c r="R12">
        <f t="shared" si="0"/>
        <v>78.436000000000007</v>
      </c>
      <c r="S12">
        <f t="shared" si="0"/>
        <v>79.84</v>
      </c>
      <c r="T12">
        <f t="shared" si="0"/>
        <v>81.244</v>
      </c>
      <c r="U12">
        <f t="shared" si="0"/>
        <v>82.647999999999996</v>
      </c>
      <c r="V12">
        <f t="shared" si="0"/>
        <v>84.051999999999992</v>
      </c>
      <c r="W12">
        <f t="shared" si="0"/>
        <v>85.455999999999989</v>
      </c>
      <c r="X12">
        <f t="shared" si="0"/>
        <v>86.86</v>
      </c>
    </row>
    <row r="13" spans="2:26">
      <c r="B13" s="61" t="s">
        <v>78</v>
      </c>
      <c r="C13" s="59">
        <v>50</v>
      </c>
      <c r="D13">
        <f t="shared" si="1"/>
        <v>58.724999999999994</v>
      </c>
      <c r="E13">
        <f t="shared" si="0"/>
        <v>60.03</v>
      </c>
      <c r="F13">
        <f t="shared" si="0"/>
        <v>61.334999999999994</v>
      </c>
      <c r="G13">
        <f t="shared" si="0"/>
        <v>62.64</v>
      </c>
      <c r="H13">
        <f t="shared" si="0"/>
        <v>63.944999999999993</v>
      </c>
      <c r="I13">
        <f t="shared" si="0"/>
        <v>65.25</v>
      </c>
      <c r="J13">
        <f t="shared" si="0"/>
        <v>66.555000000000007</v>
      </c>
      <c r="K13">
        <f t="shared" si="0"/>
        <v>67.86</v>
      </c>
      <c r="L13">
        <f t="shared" si="0"/>
        <v>69.164999999999992</v>
      </c>
      <c r="M13">
        <f t="shared" si="0"/>
        <v>70.47</v>
      </c>
      <c r="N13">
        <f t="shared" si="0"/>
        <v>71.775000000000006</v>
      </c>
      <c r="O13">
        <f t="shared" si="0"/>
        <v>73.08</v>
      </c>
      <c r="P13">
        <f t="shared" si="0"/>
        <v>74.384999999999991</v>
      </c>
      <c r="Q13">
        <f t="shared" si="0"/>
        <v>75.69</v>
      </c>
      <c r="R13">
        <f t="shared" si="0"/>
        <v>76.995000000000005</v>
      </c>
      <c r="S13">
        <f t="shared" si="0"/>
        <v>78.3</v>
      </c>
      <c r="T13">
        <f t="shared" si="0"/>
        <v>79.605000000000004</v>
      </c>
      <c r="U13">
        <f t="shared" si="0"/>
        <v>80.91</v>
      </c>
      <c r="V13">
        <f t="shared" si="0"/>
        <v>82.215000000000003</v>
      </c>
      <c r="W13">
        <f t="shared" si="0"/>
        <v>83.52</v>
      </c>
      <c r="X13">
        <f t="shared" si="0"/>
        <v>84.824999999999989</v>
      </c>
    </row>
    <row r="14" spans="2:26">
      <c r="B14" s="61"/>
      <c r="C14" s="59">
        <v>40</v>
      </c>
      <c r="D14">
        <f t="shared" si="1"/>
        <v>58.669999999999995</v>
      </c>
      <c r="E14">
        <f t="shared" si="0"/>
        <v>59.875999999999998</v>
      </c>
      <c r="F14">
        <f t="shared" si="0"/>
        <v>61.081999999999994</v>
      </c>
      <c r="G14">
        <f t="shared" si="0"/>
        <v>62.287999999999997</v>
      </c>
      <c r="H14">
        <f t="shared" si="0"/>
        <v>63.494</v>
      </c>
      <c r="I14">
        <f t="shared" si="0"/>
        <v>64.7</v>
      </c>
      <c r="J14">
        <f t="shared" si="0"/>
        <v>65.906000000000006</v>
      </c>
      <c r="K14">
        <f t="shared" si="0"/>
        <v>67.111999999999995</v>
      </c>
      <c r="L14">
        <f t="shared" si="0"/>
        <v>68.317999999999998</v>
      </c>
      <c r="M14">
        <f t="shared" si="0"/>
        <v>69.524000000000001</v>
      </c>
      <c r="N14">
        <f t="shared" si="0"/>
        <v>70.72999999999999</v>
      </c>
      <c r="O14">
        <f t="shared" si="0"/>
        <v>71.936000000000007</v>
      </c>
      <c r="P14">
        <f t="shared" si="0"/>
        <v>73.141999999999996</v>
      </c>
      <c r="Q14">
        <f t="shared" si="0"/>
        <v>74.347999999999999</v>
      </c>
      <c r="R14">
        <f t="shared" si="0"/>
        <v>75.554000000000002</v>
      </c>
      <c r="S14">
        <f t="shared" si="0"/>
        <v>76.759999999999991</v>
      </c>
      <c r="T14">
        <f t="shared" si="0"/>
        <v>77.966000000000008</v>
      </c>
      <c r="U14">
        <f t="shared" si="0"/>
        <v>79.171999999999997</v>
      </c>
      <c r="V14">
        <f t="shared" si="0"/>
        <v>80.378</v>
      </c>
      <c r="W14">
        <f t="shared" si="0"/>
        <v>81.584000000000003</v>
      </c>
      <c r="X14">
        <f t="shared" si="0"/>
        <v>82.789999999999992</v>
      </c>
    </row>
    <row r="15" spans="2:26">
      <c r="B15" s="61"/>
      <c r="C15" s="59">
        <v>30</v>
      </c>
      <c r="D15">
        <f t="shared" si="1"/>
        <v>58.614999999999995</v>
      </c>
      <c r="E15">
        <f t="shared" si="0"/>
        <v>59.721999999999994</v>
      </c>
      <c r="F15">
        <f t="shared" si="0"/>
        <v>60.828999999999994</v>
      </c>
      <c r="G15">
        <f t="shared" si="0"/>
        <v>61.936</v>
      </c>
      <c r="H15">
        <f t="shared" si="0"/>
        <v>63.042999999999992</v>
      </c>
      <c r="I15">
        <f t="shared" si="0"/>
        <v>64.150000000000006</v>
      </c>
      <c r="J15">
        <f t="shared" si="0"/>
        <v>65.257000000000005</v>
      </c>
      <c r="K15">
        <f t="shared" si="0"/>
        <v>66.364000000000004</v>
      </c>
      <c r="L15">
        <f t="shared" si="0"/>
        <v>67.471000000000004</v>
      </c>
      <c r="M15">
        <f t="shared" si="0"/>
        <v>68.578000000000003</v>
      </c>
      <c r="N15">
        <f t="shared" si="0"/>
        <v>69.685000000000002</v>
      </c>
      <c r="O15">
        <f t="shared" si="0"/>
        <v>70.792000000000002</v>
      </c>
      <c r="P15">
        <f t="shared" si="0"/>
        <v>71.899000000000001</v>
      </c>
      <c r="Q15">
        <f t="shared" si="0"/>
        <v>73.006</v>
      </c>
      <c r="R15">
        <f t="shared" si="0"/>
        <v>74.113</v>
      </c>
      <c r="S15">
        <f t="shared" si="0"/>
        <v>75.22</v>
      </c>
      <c r="T15">
        <f t="shared" si="0"/>
        <v>76.326999999999998</v>
      </c>
      <c r="U15">
        <f t="shared" si="0"/>
        <v>77.433999999999997</v>
      </c>
      <c r="V15">
        <f t="shared" si="0"/>
        <v>78.540999999999997</v>
      </c>
      <c r="W15">
        <f t="shared" si="0"/>
        <v>79.647999999999996</v>
      </c>
      <c r="X15">
        <f t="shared" si="0"/>
        <v>80.754999999999995</v>
      </c>
    </row>
    <row r="16" spans="2:26">
      <c r="B16" s="61"/>
      <c r="C16" s="59">
        <v>20</v>
      </c>
      <c r="D16">
        <f t="shared" si="1"/>
        <v>58.559999999999995</v>
      </c>
      <c r="E16">
        <f t="shared" si="0"/>
        <v>59.567999999999998</v>
      </c>
      <c r="F16">
        <f t="shared" si="0"/>
        <v>60.576000000000001</v>
      </c>
      <c r="G16">
        <f t="shared" si="0"/>
        <v>61.584000000000003</v>
      </c>
      <c r="H16">
        <f t="shared" si="0"/>
        <v>62.591999999999999</v>
      </c>
      <c r="I16">
        <f t="shared" si="0"/>
        <v>63.6</v>
      </c>
      <c r="J16">
        <f t="shared" si="0"/>
        <v>64.608000000000004</v>
      </c>
      <c r="K16">
        <f t="shared" si="0"/>
        <v>65.616</v>
      </c>
      <c r="L16">
        <f t="shared" si="0"/>
        <v>66.623999999999995</v>
      </c>
      <c r="M16">
        <f t="shared" si="0"/>
        <v>67.632000000000005</v>
      </c>
      <c r="N16">
        <f t="shared" si="0"/>
        <v>68.64</v>
      </c>
      <c r="O16">
        <f t="shared" si="0"/>
        <v>69.647999999999996</v>
      </c>
      <c r="P16">
        <f t="shared" si="0"/>
        <v>70.656000000000006</v>
      </c>
      <c r="Q16">
        <f t="shared" si="0"/>
        <v>71.664000000000001</v>
      </c>
      <c r="R16">
        <f t="shared" si="0"/>
        <v>72.671999999999997</v>
      </c>
      <c r="S16">
        <f t="shared" si="0"/>
        <v>73.680000000000007</v>
      </c>
      <c r="T16">
        <f t="shared" si="0"/>
        <v>74.688000000000002</v>
      </c>
      <c r="U16">
        <f t="shared" si="0"/>
        <v>75.695999999999998</v>
      </c>
      <c r="V16">
        <f t="shared" si="0"/>
        <v>76.703999999999994</v>
      </c>
      <c r="W16">
        <f t="shared" si="0"/>
        <v>77.712000000000003</v>
      </c>
      <c r="X16">
        <f t="shared" si="0"/>
        <v>78.72</v>
      </c>
    </row>
    <row r="17" spans="2:24">
      <c r="B17" s="61"/>
      <c r="C17" s="59">
        <v>10</v>
      </c>
      <c r="D17">
        <f t="shared" si="1"/>
        <v>58.504999999999995</v>
      </c>
      <c r="E17">
        <f t="shared" si="0"/>
        <v>59.414000000000001</v>
      </c>
      <c r="F17">
        <f t="shared" si="0"/>
        <v>60.323</v>
      </c>
      <c r="G17">
        <f t="shared" si="0"/>
        <v>61.231999999999999</v>
      </c>
      <c r="H17">
        <f t="shared" si="0"/>
        <v>62.140999999999998</v>
      </c>
      <c r="I17">
        <f t="shared" si="0"/>
        <v>63.05</v>
      </c>
      <c r="J17">
        <f t="shared" si="0"/>
        <v>63.959000000000003</v>
      </c>
      <c r="K17">
        <f t="shared" si="0"/>
        <v>64.867999999999995</v>
      </c>
      <c r="L17">
        <f t="shared" si="0"/>
        <v>65.777000000000001</v>
      </c>
      <c r="M17">
        <f t="shared" si="0"/>
        <v>66.686000000000007</v>
      </c>
      <c r="N17">
        <f t="shared" si="0"/>
        <v>67.594999999999999</v>
      </c>
      <c r="O17">
        <f t="shared" si="0"/>
        <v>68.503999999999991</v>
      </c>
      <c r="P17">
        <f t="shared" si="0"/>
        <v>69.412999999999997</v>
      </c>
      <c r="Q17">
        <f t="shared" si="0"/>
        <v>70.322000000000003</v>
      </c>
      <c r="R17">
        <f t="shared" si="0"/>
        <v>71.230999999999995</v>
      </c>
      <c r="S17">
        <f t="shared" si="0"/>
        <v>72.14</v>
      </c>
      <c r="T17">
        <f t="shared" si="0"/>
        <v>73.049000000000007</v>
      </c>
      <c r="U17">
        <f t="shared" si="0"/>
        <v>73.957999999999998</v>
      </c>
      <c r="V17">
        <f t="shared" si="0"/>
        <v>74.86699999999999</v>
      </c>
      <c r="W17">
        <f t="shared" si="0"/>
        <v>75.775999999999996</v>
      </c>
      <c r="X17">
        <f t="shared" si="0"/>
        <v>76.685000000000002</v>
      </c>
    </row>
    <row r="18" spans="2:24">
      <c r="B18" s="62"/>
      <c r="C18" s="59">
        <v>0</v>
      </c>
      <c r="D18">
        <f t="shared" si="1"/>
        <v>58.449999999999996</v>
      </c>
      <c r="E18">
        <f t="shared" si="0"/>
        <v>59.26</v>
      </c>
      <c r="F18">
        <f t="shared" si="0"/>
        <v>60.07</v>
      </c>
      <c r="G18">
        <f t="shared" si="0"/>
        <v>60.879999999999995</v>
      </c>
      <c r="H18">
        <f t="shared" si="0"/>
        <v>61.69</v>
      </c>
      <c r="I18">
        <f t="shared" si="0"/>
        <v>62.5</v>
      </c>
      <c r="J18">
        <f t="shared" si="0"/>
        <v>63.31</v>
      </c>
      <c r="K18">
        <f t="shared" si="0"/>
        <v>64.12</v>
      </c>
      <c r="L18">
        <f t="shared" si="0"/>
        <v>64.930000000000007</v>
      </c>
      <c r="M18">
        <f t="shared" si="0"/>
        <v>65.739999999999995</v>
      </c>
      <c r="N18">
        <f t="shared" si="0"/>
        <v>66.55</v>
      </c>
      <c r="O18">
        <f t="shared" si="0"/>
        <v>67.36</v>
      </c>
      <c r="P18">
        <f t="shared" si="0"/>
        <v>68.17</v>
      </c>
      <c r="Q18">
        <f t="shared" si="0"/>
        <v>68.97999999999999</v>
      </c>
      <c r="R18">
        <f t="shared" si="0"/>
        <v>69.789999999999992</v>
      </c>
      <c r="S18">
        <f t="shared" si="0"/>
        <v>70.599999999999994</v>
      </c>
      <c r="T18">
        <f t="shared" si="0"/>
        <v>71.41</v>
      </c>
      <c r="U18">
        <f t="shared" si="0"/>
        <v>72.22</v>
      </c>
      <c r="V18">
        <f t="shared" si="0"/>
        <v>73.03</v>
      </c>
      <c r="W18">
        <f t="shared" si="0"/>
        <v>73.84</v>
      </c>
      <c r="X18">
        <f t="shared" si="0"/>
        <v>74.650000000000006</v>
      </c>
    </row>
    <row r="20" spans="2:24">
      <c r="G20" s="66" t="s">
        <v>80</v>
      </c>
    </row>
  </sheetData>
  <phoneticPr fontId="2"/>
  <conditionalFormatting sqref="D8:X18">
    <cfRule type="cellIs" dxfId="1" priority="1" operator="lessThan">
      <formula>70</formula>
    </cfRule>
    <cfRule type="cellIs" dxfId="0" priority="2" operator="greaterThanOrEqual">
      <formula>80</formula>
    </cfRule>
  </conditionalFormatting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U46"/>
  <sheetViews>
    <sheetView topLeftCell="B1" workbookViewId="0">
      <selection activeCell="B1" sqref="B1"/>
    </sheetView>
  </sheetViews>
  <sheetFormatPr baseColWidth="12" defaultColWidth="4.125" defaultRowHeight="16" customHeight="1" x14ac:dyDescent="0"/>
  <cols>
    <col min="3" max="3" width="6" customWidth="1"/>
    <col min="5" max="20" width="7.25" customWidth="1"/>
    <col min="21" max="21" width="5.5" customWidth="1"/>
  </cols>
  <sheetData>
    <row r="3" spans="3:21" ht="16" customHeight="1">
      <c r="C3" t="s">
        <v>39</v>
      </c>
    </row>
    <row r="4" spans="3:21" ht="16" customHeight="1">
      <c r="C4" s="66" t="s">
        <v>81</v>
      </c>
    </row>
    <row r="5" spans="3:21" ht="16" customHeight="1">
      <c r="E5" t="s">
        <v>83</v>
      </c>
    </row>
    <row r="6" spans="3:21" ht="16" customHeight="1">
      <c r="D6" s="35" t="s">
        <v>43</v>
      </c>
      <c r="E6">
        <v>15</v>
      </c>
      <c r="F6">
        <v>16</v>
      </c>
      <c r="G6">
        <v>17</v>
      </c>
      <c r="H6">
        <v>18</v>
      </c>
      <c r="I6">
        <v>19</v>
      </c>
      <c r="J6">
        <v>20</v>
      </c>
      <c r="K6">
        <v>21</v>
      </c>
      <c r="L6">
        <v>22</v>
      </c>
      <c r="M6">
        <v>23</v>
      </c>
      <c r="N6">
        <v>24</v>
      </c>
      <c r="O6">
        <v>25</v>
      </c>
      <c r="P6">
        <v>26</v>
      </c>
      <c r="Q6">
        <v>27</v>
      </c>
      <c r="R6">
        <v>28</v>
      </c>
      <c r="S6">
        <v>29</v>
      </c>
      <c r="T6">
        <v>30</v>
      </c>
    </row>
    <row r="7" spans="3:21" ht="16" customHeight="1">
      <c r="D7" s="35" t="s">
        <v>42</v>
      </c>
      <c r="E7">
        <f>E6+273</f>
        <v>288</v>
      </c>
      <c r="F7">
        <f t="shared" ref="F7:T7" si="0">F6+273</f>
        <v>289</v>
      </c>
      <c r="G7">
        <f t="shared" si="0"/>
        <v>290</v>
      </c>
      <c r="H7">
        <f t="shared" si="0"/>
        <v>291</v>
      </c>
      <c r="I7">
        <f t="shared" si="0"/>
        <v>292</v>
      </c>
      <c r="J7">
        <f t="shared" si="0"/>
        <v>293</v>
      </c>
      <c r="K7">
        <f t="shared" si="0"/>
        <v>294</v>
      </c>
      <c r="L7">
        <f t="shared" si="0"/>
        <v>295</v>
      </c>
      <c r="M7">
        <f t="shared" si="0"/>
        <v>296</v>
      </c>
      <c r="N7">
        <f t="shared" si="0"/>
        <v>297</v>
      </c>
      <c r="O7">
        <f t="shared" si="0"/>
        <v>298</v>
      </c>
      <c r="P7">
        <f t="shared" si="0"/>
        <v>299</v>
      </c>
      <c r="Q7">
        <f t="shared" si="0"/>
        <v>300</v>
      </c>
      <c r="R7">
        <f t="shared" si="0"/>
        <v>301</v>
      </c>
      <c r="S7">
        <f t="shared" si="0"/>
        <v>302</v>
      </c>
      <c r="T7">
        <f t="shared" si="0"/>
        <v>303</v>
      </c>
    </row>
    <row r="8" spans="3:21" ht="20" customHeight="1">
      <c r="D8" s="72" t="s">
        <v>82</v>
      </c>
      <c r="E8" s="34">
        <f>(5.67*10^-8)*E$7^4</f>
        <v>390.07939461119997</v>
      </c>
      <c r="F8" s="34">
        <f t="shared" ref="F8:T8" si="1">(5.67*10^-8)*F$7^4</f>
        <v>395.5254469047</v>
      </c>
      <c r="G8" s="34">
        <f t="shared" si="1"/>
        <v>401.02832699999999</v>
      </c>
      <c r="H8" s="34">
        <f t="shared" si="1"/>
        <v>406.5884288487</v>
      </c>
      <c r="I8" s="34">
        <f t="shared" si="1"/>
        <v>412.20614776319997</v>
      </c>
      <c r="J8" s="34">
        <f t="shared" si="1"/>
        <v>417.88188041669997</v>
      </c>
      <c r="K8" s="34">
        <f t="shared" si="1"/>
        <v>423.61602484319997</v>
      </c>
      <c r="L8" s="34">
        <f t="shared" si="1"/>
        <v>429.40898043749996</v>
      </c>
      <c r="M8" s="34">
        <f t="shared" si="1"/>
        <v>435.26114795519999</v>
      </c>
      <c r="N8" s="34">
        <f t="shared" si="1"/>
        <v>441.17292951269997</v>
      </c>
      <c r="O8" s="34">
        <f t="shared" si="1"/>
        <v>447.14472858720001</v>
      </c>
      <c r="P8" s="34">
        <f t="shared" si="1"/>
        <v>453.1769500167</v>
      </c>
      <c r="Q8" s="34">
        <f t="shared" si="1"/>
        <v>459.27</v>
      </c>
      <c r="R8" s="34">
        <f t="shared" si="1"/>
        <v>465.42428609669997</v>
      </c>
      <c r="S8" s="34">
        <f t="shared" si="1"/>
        <v>471.64021722719997</v>
      </c>
      <c r="T8" s="34">
        <f t="shared" si="1"/>
        <v>477.91820367269997</v>
      </c>
      <c r="U8" t="s">
        <v>44</v>
      </c>
    </row>
    <row r="9" spans="3:21" ht="16" customHeight="1"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3:21" ht="16" customHeight="1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3:21" ht="16" customHeight="1"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3:21" ht="20" customHeight="1">
      <c r="C12" t="s">
        <v>85</v>
      </c>
    </row>
    <row r="13" spans="3:21" ht="16" customHeight="1">
      <c r="E13" t="s">
        <v>40</v>
      </c>
    </row>
    <row r="14" spans="3:21" ht="16" customHeight="1">
      <c r="C14" t="s">
        <v>41</v>
      </c>
      <c r="D14" s="69" t="s">
        <v>43</v>
      </c>
      <c r="E14">
        <v>15</v>
      </c>
      <c r="F14">
        <v>16</v>
      </c>
      <c r="G14">
        <v>17</v>
      </c>
      <c r="H14">
        <v>18</v>
      </c>
      <c r="I14">
        <v>19</v>
      </c>
      <c r="J14">
        <v>20</v>
      </c>
      <c r="K14">
        <v>21</v>
      </c>
      <c r="L14">
        <v>22</v>
      </c>
      <c r="M14">
        <v>23</v>
      </c>
      <c r="N14">
        <v>24</v>
      </c>
      <c r="O14">
        <v>25</v>
      </c>
      <c r="P14">
        <v>26</v>
      </c>
      <c r="Q14">
        <v>27</v>
      </c>
      <c r="R14">
        <v>28</v>
      </c>
      <c r="S14">
        <v>29</v>
      </c>
      <c r="T14">
        <v>30</v>
      </c>
    </row>
    <row r="15" spans="3:21" ht="16" customHeight="1" thickBot="1">
      <c r="C15" s="67" t="s">
        <v>43</v>
      </c>
      <c r="D15" s="70" t="s">
        <v>42</v>
      </c>
      <c r="E15" s="68">
        <f>E14+273</f>
        <v>288</v>
      </c>
      <c r="F15" s="68">
        <f t="shared" ref="F15:T15" si="2">F14+273</f>
        <v>289</v>
      </c>
      <c r="G15" s="68">
        <f t="shared" si="2"/>
        <v>290</v>
      </c>
      <c r="H15" s="68">
        <f t="shared" si="2"/>
        <v>291</v>
      </c>
      <c r="I15" s="68">
        <f t="shared" si="2"/>
        <v>292</v>
      </c>
      <c r="J15" s="68">
        <f t="shared" si="2"/>
        <v>293</v>
      </c>
      <c r="K15" s="68">
        <f t="shared" si="2"/>
        <v>294</v>
      </c>
      <c r="L15" s="68">
        <f t="shared" si="2"/>
        <v>295</v>
      </c>
      <c r="M15" s="68">
        <f t="shared" si="2"/>
        <v>296</v>
      </c>
      <c r="N15" s="68">
        <f t="shared" si="2"/>
        <v>297</v>
      </c>
      <c r="O15" s="68">
        <f t="shared" si="2"/>
        <v>298</v>
      </c>
      <c r="P15" s="68">
        <f t="shared" si="2"/>
        <v>299</v>
      </c>
      <c r="Q15" s="68">
        <f t="shared" si="2"/>
        <v>300</v>
      </c>
      <c r="R15" s="68">
        <f t="shared" si="2"/>
        <v>301</v>
      </c>
      <c r="S15" s="68">
        <f t="shared" si="2"/>
        <v>302</v>
      </c>
      <c r="T15" s="68">
        <f t="shared" si="2"/>
        <v>303</v>
      </c>
    </row>
    <row r="16" spans="3:21" ht="16" customHeight="1">
      <c r="C16" s="35">
        <v>15</v>
      </c>
      <c r="D16" s="71">
        <f>C16+273</f>
        <v>288</v>
      </c>
      <c r="E16" s="1">
        <f>($D16+E$15)*($D16^2+E$15^2)</f>
        <v>95551488</v>
      </c>
      <c r="F16" s="1">
        <f t="shared" ref="E16:T25" si="3">($D16+F$15)*($D16^2+F$15^2)</f>
        <v>96050305</v>
      </c>
      <c r="G16" s="1">
        <f t="shared" si="3"/>
        <v>96551432</v>
      </c>
      <c r="H16" s="1">
        <f t="shared" si="3"/>
        <v>97054875</v>
      </c>
      <c r="I16" s="1">
        <f t="shared" si="3"/>
        <v>97560640</v>
      </c>
      <c r="J16" s="1">
        <f t="shared" si="3"/>
        <v>98068733</v>
      </c>
      <c r="K16" s="1">
        <f t="shared" si="3"/>
        <v>98579160</v>
      </c>
      <c r="L16" s="1">
        <f t="shared" si="3"/>
        <v>99091927</v>
      </c>
      <c r="M16" s="1">
        <f t="shared" si="3"/>
        <v>99607040</v>
      </c>
      <c r="N16" s="1">
        <f t="shared" si="3"/>
        <v>100124505</v>
      </c>
      <c r="O16" s="1">
        <f t="shared" si="3"/>
        <v>100644328</v>
      </c>
      <c r="P16" s="1">
        <f t="shared" si="3"/>
        <v>101166515</v>
      </c>
      <c r="Q16" s="1">
        <f t="shared" si="3"/>
        <v>101691072</v>
      </c>
      <c r="R16" s="1">
        <f t="shared" si="3"/>
        <v>102218005</v>
      </c>
      <c r="S16" s="1">
        <f t="shared" si="3"/>
        <v>102747320</v>
      </c>
      <c r="T16" s="1">
        <f t="shared" si="3"/>
        <v>103279023</v>
      </c>
    </row>
    <row r="17" spans="3:20" ht="16" customHeight="1">
      <c r="C17" s="35">
        <v>16</v>
      </c>
      <c r="D17" s="71">
        <f t="shared" ref="D17:D31" si="4">C17+273</f>
        <v>289</v>
      </c>
      <c r="E17" s="1">
        <f t="shared" si="3"/>
        <v>96050305</v>
      </c>
      <c r="F17" s="1">
        <f t="shared" si="3"/>
        <v>96550276</v>
      </c>
      <c r="G17" s="1">
        <f t="shared" si="3"/>
        <v>97052559</v>
      </c>
      <c r="H17" s="1">
        <f t="shared" si="3"/>
        <v>97557160</v>
      </c>
      <c r="I17" s="1">
        <f t="shared" si="3"/>
        <v>98064085</v>
      </c>
      <c r="J17" s="1">
        <f t="shared" si="3"/>
        <v>98573340</v>
      </c>
      <c r="K17" s="1">
        <f t="shared" si="3"/>
        <v>99084931</v>
      </c>
      <c r="L17" s="1">
        <f t="shared" si="3"/>
        <v>99598864</v>
      </c>
      <c r="M17" s="1">
        <f t="shared" si="3"/>
        <v>100115145</v>
      </c>
      <c r="N17" s="1">
        <f t="shared" si="3"/>
        <v>100633780</v>
      </c>
      <c r="O17" s="1">
        <f t="shared" si="3"/>
        <v>101154775</v>
      </c>
      <c r="P17" s="1">
        <f t="shared" si="3"/>
        <v>101678136</v>
      </c>
      <c r="Q17" s="1">
        <f t="shared" si="3"/>
        <v>102203869</v>
      </c>
      <c r="R17" s="1">
        <f t="shared" si="3"/>
        <v>102731980</v>
      </c>
      <c r="S17" s="1">
        <f t="shared" si="3"/>
        <v>103262475</v>
      </c>
      <c r="T17" s="1">
        <f t="shared" si="3"/>
        <v>103795360</v>
      </c>
    </row>
    <row r="18" spans="3:20" ht="16" customHeight="1">
      <c r="C18" s="35">
        <v>17</v>
      </c>
      <c r="D18" s="71">
        <f t="shared" si="4"/>
        <v>290</v>
      </c>
      <c r="E18" s="1">
        <f t="shared" si="3"/>
        <v>96551432</v>
      </c>
      <c r="F18" s="1">
        <f t="shared" si="3"/>
        <v>97052559</v>
      </c>
      <c r="G18" s="1">
        <f t="shared" si="3"/>
        <v>97556000</v>
      </c>
      <c r="H18" s="1">
        <f t="shared" si="3"/>
        <v>98061761</v>
      </c>
      <c r="I18" s="1">
        <f t="shared" si="3"/>
        <v>98569848</v>
      </c>
      <c r="J18" s="1">
        <f t="shared" si="3"/>
        <v>99080267</v>
      </c>
      <c r="K18" s="1">
        <f t="shared" si="3"/>
        <v>99593024</v>
      </c>
      <c r="L18" s="1">
        <f t="shared" si="3"/>
        <v>100108125</v>
      </c>
      <c r="M18" s="1">
        <f t="shared" si="3"/>
        <v>100625576</v>
      </c>
      <c r="N18" s="1">
        <f t="shared" si="3"/>
        <v>101145383</v>
      </c>
      <c r="O18" s="1">
        <f t="shared" si="3"/>
        <v>101667552</v>
      </c>
      <c r="P18" s="1">
        <f t="shared" si="3"/>
        <v>102192089</v>
      </c>
      <c r="Q18" s="1">
        <f t="shared" si="3"/>
        <v>102719000</v>
      </c>
      <c r="R18" s="1">
        <f t="shared" si="3"/>
        <v>103248291</v>
      </c>
      <c r="S18" s="1">
        <f t="shared" si="3"/>
        <v>103779968</v>
      </c>
      <c r="T18" s="1">
        <f t="shared" si="3"/>
        <v>104314037</v>
      </c>
    </row>
    <row r="19" spans="3:20" ht="16" customHeight="1">
      <c r="C19" s="35">
        <v>18</v>
      </c>
      <c r="D19" s="71">
        <f t="shared" si="4"/>
        <v>291</v>
      </c>
      <c r="E19" s="1">
        <f t="shared" si="3"/>
        <v>97054875</v>
      </c>
      <c r="F19" s="1">
        <f t="shared" si="3"/>
        <v>97557160</v>
      </c>
      <c r="G19" s="1">
        <f t="shared" si="3"/>
        <v>98061761</v>
      </c>
      <c r="H19" s="1">
        <f t="shared" si="3"/>
        <v>98568684</v>
      </c>
      <c r="I19" s="1">
        <f t="shared" si="3"/>
        <v>99077935</v>
      </c>
      <c r="J19" s="1">
        <f t="shared" si="3"/>
        <v>99589520</v>
      </c>
      <c r="K19" s="1">
        <f t="shared" si="3"/>
        <v>100103445</v>
      </c>
      <c r="L19" s="1">
        <f t="shared" si="3"/>
        <v>100619716</v>
      </c>
      <c r="M19" s="1">
        <f t="shared" si="3"/>
        <v>101138339</v>
      </c>
      <c r="N19" s="1">
        <f t="shared" si="3"/>
        <v>101659320</v>
      </c>
      <c r="O19" s="1">
        <f t="shared" si="3"/>
        <v>102182665</v>
      </c>
      <c r="P19" s="1">
        <f t="shared" si="3"/>
        <v>102708380</v>
      </c>
      <c r="Q19" s="1">
        <f t="shared" si="3"/>
        <v>103236471</v>
      </c>
      <c r="R19" s="1">
        <f t="shared" si="3"/>
        <v>103766944</v>
      </c>
      <c r="S19" s="1">
        <f t="shared" si="3"/>
        <v>104299805</v>
      </c>
      <c r="T19" s="1">
        <f t="shared" si="3"/>
        <v>104835060</v>
      </c>
    </row>
    <row r="20" spans="3:20" ht="16" customHeight="1">
      <c r="C20" s="35">
        <v>19</v>
      </c>
      <c r="D20" s="71">
        <f t="shared" si="4"/>
        <v>292</v>
      </c>
      <c r="E20" s="1">
        <f t="shared" si="3"/>
        <v>97560640</v>
      </c>
      <c r="F20" s="1">
        <f t="shared" si="3"/>
        <v>98064085</v>
      </c>
      <c r="G20" s="1">
        <f t="shared" si="3"/>
        <v>98569848</v>
      </c>
      <c r="H20" s="1">
        <f t="shared" si="3"/>
        <v>99077935</v>
      </c>
      <c r="I20" s="1">
        <f t="shared" si="3"/>
        <v>99588352</v>
      </c>
      <c r="J20" s="1">
        <f t="shared" si="3"/>
        <v>100101105</v>
      </c>
      <c r="K20" s="1">
        <f t="shared" si="3"/>
        <v>100616200</v>
      </c>
      <c r="L20" s="1">
        <f t="shared" si="3"/>
        <v>101133643</v>
      </c>
      <c r="M20" s="1">
        <f t="shared" si="3"/>
        <v>101653440</v>
      </c>
      <c r="N20" s="1">
        <f t="shared" si="3"/>
        <v>102175597</v>
      </c>
      <c r="O20" s="1">
        <f t="shared" si="3"/>
        <v>102700120</v>
      </c>
      <c r="P20" s="1">
        <f t="shared" si="3"/>
        <v>103227015</v>
      </c>
      <c r="Q20" s="1">
        <f t="shared" si="3"/>
        <v>103756288</v>
      </c>
      <c r="R20" s="1">
        <f t="shared" si="3"/>
        <v>104287945</v>
      </c>
      <c r="S20" s="1">
        <f t="shared" si="3"/>
        <v>104821992</v>
      </c>
      <c r="T20" s="1">
        <f t="shared" si="3"/>
        <v>105358435</v>
      </c>
    </row>
    <row r="21" spans="3:20" ht="16" customHeight="1">
      <c r="C21" s="35">
        <v>20</v>
      </c>
      <c r="D21" s="71">
        <f t="shared" si="4"/>
        <v>293</v>
      </c>
      <c r="E21" s="1">
        <f t="shared" si="3"/>
        <v>98068733</v>
      </c>
      <c r="F21" s="1">
        <f t="shared" si="3"/>
        <v>98573340</v>
      </c>
      <c r="G21" s="1">
        <f t="shared" si="3"/>
        <v>99080267</v>
      </c>
      <c r="H21" s="1">
        <f t="shared" si="3"/>
        <v>99589520</v>
      </c>
      <c r="I21" s="1">
        <f t="shared" si="3"/>
        <v>100101105</v>
      </c>
      <c r="J21" s="1">
        <f t="shared" si="3"/>
        <v>100615028</v>
      </c>
      <c r="K21" s="1">
        <f t="shared" si="3"/>
        <v>101131295</v>
      </c>
      <c r="L21" s="1">
        <f t="shared" si="3"/>
        <v>101649912</v>
      </c>
      <c r="M21" s="1">
        <f t="shared" si="3"/>
        <v>102170885</v>
      </c>
      <c r="N21" s="1">
        <f t="shared" si="3"/>
        <v>102694220</v>
      </c>
      <c r="O21" s="1">
        <f t="shared" si="3"/>
        <v>103219923</v>
      </c>
      <c r="P21" s="1">
        <f t="shared" si="3"/>
        <v>103748000</v>
      </c>
      <c r="Q21" s="1">
        <f t="shared" si="3"/>
        <v>104278457</v>
      </c>
      <c r="R21" s="1">
        <f t="shared" si="3"/>
        <v>104811300</v>
      </c>
      <c r="S21" s="1">
        <f t="shared" si="3"/>
        <v>105346535</v>
      </c>
      <c r="T21" s="1">
        <f t="shared" si="3"/>
        <v>105884168</v>
      </c>
    </row>
    <row r="22" spans="3:20" ht="16" customHeight="1">
      <c r="C22" s="35">
        <v>21</v>
      </c>
      <c r="D22" s="71">
        <f t="shared" si="4"/>
        <v>294</v>
      </c>
      <c r="E22" s="1">
        <f t="shared" si="3"/>
        <v>98579160</v>
      </c>
      <c r="F22" s="1">
        <f t="shared" si="3"/>
        <v>99084931</v>
      </c>
      <c r="G22" s="1">
        <f t="shared" si="3"/>
        <v>99593024</v>
      </c>
      <c r="H22" s="1">
        <f t="shared" si="3"/>
        <v>100103445</v>
      </c>
      <c r="I22" s="1">
        <f t="shared" si="3"/>
        <v>100616200</v>
      </c>
      <c r="J22" s="1">
        <f t="shared" si="3"/>
        <v>101131295</v>
      </c>
      <c r="K22" s="1">
        <f t="shared" si="3"/>
        <v>101648736</v>
      </c>
      <c r="L22" s="1">
        <f t="shared" si="3"/>
        <v>102168529</v>
      </c>
      <c r="M22" s="1">
        <f t="shared" si="3"/>
        <v>102690680</v>
      </c>
      <c r="N22" s="1">
        <f t="shared" si="3"/>
        <v>103215195</v>
      </c>
      <c r="O22" s="1">
        <f t="shared" si="3"/>
        <v>103742080</v>
      </c>
      <c r="P22" s="1">
        <f t="shared" si="3"/>
        <v>104271341</v>
      </c>
      <c r="Q22" s="1">
        <f t="shared" si="3"/>
        <v>104802984</v>
      </c>
      <c r="R22" s="1">
        <f t="shared" si="3"/>
        <v>105337015</v>
      </c>
      <c r="S22" s="1">
        <f t="shared" si="3"/>
        <v>105873440</v>
      </c>
      <c r="T22" s="1">
        <f t="shared" si="3"/>
        <v>106412265</v>
      </c>
    </row>
    <row r="23" spans="3:20" ht="16" customHeight="1">
      <c r="C23" s="35">
        <v>22</v>
      </c>
      <c r="D23" s="71">
        <f t="shared" si="4"/>
        <v>295</v>
      </c>
      <c r="E23" s="1">
        <f t="shared" si="3"/>
        <v>99091927</v>
      </c>
      <c r="F23" s="1">
        <f t="shared" si="3"/>
        <v>99598864</v>
      </c>
      <c r="G23" s="1">
        <f t="shared" si="3"/>
        <v>100108125</v>
      </c>
      <c r="H23" s="1">
        <f t="shared" si="3"/>
        <v>100619716</v>
      </c>
      <c r="I23" s="1">
        <f t="shared" si="3"/>
        <v>101133643</v>
      </c>
      <c r="J23" s="1">
        <f t="shared" si="3"/>
        <v>101649912</v>
      </c>
      <c r="K23" s="1">
        <f t="shared" si="3"/>
        <v>102168529</v>
      </c>
      <c r="L23" s="1">
        <f t="shared" si="3"/>
        <v>102689500</v>
      </c>
      <c r="M23" s="1">
        <f t="shared" si="3"/>
        <v>103212831</v>
      </c>
      <c r="N23" s="1">
        <f t="shared" si="3"/>
        <v>103738528</v>
      </c>
      <c r="O23" s="1">
        <f t="shared" si="3"/>
        <v>104266597</v>
      </c>
      <c r="P23" s="1">
        <f t="shared" si="3"/>
        <v>104797044</v>
      </c>
      <c r="Q23" s="1">
        <f t="shared" si="3"/>
        <v>105329875</v>
      </c>
      <c r="R23" s="1">
        <f t="shared" si="3"/>
        <v>105865096</v>
      </c>
      <c r="S23" s="1">
        <f t="shared" si="3"/>
        <v>106402713</v>
      </c>
      <c r="T23" s="1">
        <f t="shared" si="3"/>
        <v>106942732</v>
      </c>
    </row>
    <row r="24" spans="3:20" ht="16" customHeight="1">
      <c r="C24" s="35">
        <v>23</v>
      </c>
      <c r="D24" s="71">
        <f t="shared" si="4"/>
        <v>296</v>
      </c>
      <c r="E24" s="1">
        <f t="shared" si="3"/>
        <v>99607040</v>
      </c>
      <c r="F24" s="1">
        <f t="shared" si="3"/>
        <v>100115145</v>
      </c>
      <c r="G24" s="1">
        <f t="shared" si="3"/>
        <v>100625576</v>
      </c>
      <c r="H24" s="1">
        <f t="shared" si="3"/>
        <v>101138339</v>
      </c>
      <c r="I24" s="1">
        <f t="shared" si="3"/>
        <v>101653440</v>
      </c>
      <c r="J24" s="1">
        <f t="shared" si="3"/>
        <v>102170885</v>
      </c>
      <c r="K24" s="1">
        <f t="shared" si="3"/>
        <v>102690680</v>
      </c>
      <c r="L24" s="1">
        <f t="shared" si="3"/>
        <v>103212831</v>
      </c>
      <c r="M24" s="1">
        <f t="shared" si="3"/>
        <v>103737344</v>
      </c>
      <c r="N24" s="1">
        <f t="shared" si="3"/>
        <v>104264225</v>
      </c>
      <c r="O24" s="1">
        <f t="shared" si="3"/>
        <v>104793480</v>
      </c>
      <c r="P24" s="1">
        <f t="shared" si="3"/>
        <v>105325115</v>
      </c>
      <c r="Q24" s="1">
        <f t="shared" si="3"/>
        <v>105859136</v>
      </c>
      <c r="R24" s="1">
        <f t="shared" si="3"/>
        <v>106395549</v>
      </c>
      <c r="S24" s="1">
        <f t="shared" si="3"/>
        <v>106934360</v>
      </c>
      <c r="T24" s="1">
        <f t="shared" si="3"/>
        <v>107475575</v>
      </c>
    </row>
    <row r="25" spans="3:20" ht="16" customHeight="1">
      <c r="C25" s="35">
        <v>24</v>
      </c>
      <c r="D25" s="71">
        <f t="shared" si="4"/>
        <v>297</v>
      </c>
      <c r="E25" s="1">
        <f t="shared" si="3"/>
        <v>100124505</v>
      </c>
      <c r="F25" s="1">
        <f t="shared" si="3"/>
        <v>100633780</v>
      </c>
      <c r="G25" s="1">
        <f t="shared" si="3"/>
        <v>101145383</v>
      </c>
      <c r="H25" s="1">
        <f t="shared" si="3"/>
        <v>101659320</v>
      </c>
      <c r="I25" s="1">
        <f t="shared" si="3"/>
        <v>102175597</v>
      </c>
      <c r="J25" s="1">
        <f t="shared" si="3"/>
        <v>102694220</v>
      </c>
      <c r="K25" s="1">
        <f t="shared" si="3"/>
        <v>103215195</v>
      </c>
      <c r="L25" s="1">
        <f t="shared" si="3"/>
        <v>103738528</v>
      </c>
      <c r="M25" s="1">
        <f t="shared" si="3"/>
        <v>104264225</v>
      </c>
      <c r="N25" s="1">
        <f t="shared" si="3"/>
        <v>104792292</v>
      </c>
      <c r="O25" s="1">
        <f t="shared" si="3"/>
        <v>105322735</v>
      </c>
      <c r="P25" s="1">
        <f t="shared" si="3"/>
        <v>105855560</v>
      </c>
      <c r="Q25" s="1">
        <f t="shared" si="3"/>
        <v>106390773</v>
      </c>
      <c r="R25" s="1">
        <f t="shared" si="3"/>
        <v>106928380</v>
      </c>
      <c r="S25" s="1">
        <f t="shared" si="3"/>
        <v>107468387</v>
      </c>
      <c r="T25" s="1">
        <f t="shared" si="3"/>
        <v>108010800</v>
      </c>
    </row>
    <row r="26" spans="3:20" ht="16" customHeight="1">
      <c r="C26" s="35">
        <v>25</v>
      </c>
      <c r="D26" s="71">
        <f t="shared" si="4"/>
        <v>298</v>
      </c>
      <c r="E26" s="1">
        <f t="shared" ref="E26:T31" si="5">($D26+E$15)*($D26^2+E$15^2)</f>
        <v>100644328</v>
      </c>
      <c r="F26" s="1">
        <f t="shared" si="5"/>
        <v>101154775</v>
      </c>
      <c r="G26" s="1">
        <f t="shared" si="5"/>
        <v>101667552</v>
      </c>
      <c r="H26" s="1">
        <f t="shared" si="5"/>
        <v>102182665</v>
      </c>
      <c r="I26" s="1">
        <f t="shared" si="5"/>
        <v>102700120</v>
      </c>
      <c r="J26" s="1">
        <f t="shared" si="5"/>
        <v>103219923</v>
      </c>
      <c r="K26" s="1">
        <f t="shared" si="5"/>
        <v>103742080</v>
      </c>
      <c r="L26" s="1">
        <f t="shared" si="5"/>
        <v>104266597</v>
      </c>
      <c r="M26" s="1">
        <f t="shared" si="5"/>
        <v>104793480</v>
      </c>
      <c r="N26" s="1">
        <f t="shared" si="5"/>
        <v>105322735</v>
      </c>
      <c r="O26" s="1">
        <f t="shared" si="5"/>
        <v>105854368</v>
      </c>
      <c r="P26" s="1">
        <f t="shared" si="5"/>
        <v>106388385</v>
      </c>
      <c r="Q26" s="1">
        <f t="shared" si="5"/>
        <v>106924792</v>
      </c>
      <c r="R26" s="1">
        <f t="shared" si="5"/>
        <v>107463595</v>
      </c>
      <c r="S26" s="1">
        <f t="shared" si="5"/>
        <v>108004800</v>
      </c>
      <c r="T26" s="1">
        <f t="shared" si="5"/>
        <v>108548413</v>
      </c>
    </row>
    <row r="27" spans="3:20" ht="16" customHeight="1">
      <c r="C27" s="35">
        <v>26</v>
      </c>
      <c r="D27" s="71">
        <f t="shared" si="4"/>
        <v>299</v>
      </c>
      <c r="E27" s="1">
        <f t="shared" si="5"/>
        <v>101166515</v>
      </c>
      <c r="F27" s="1">
        <f t="shared" si="5"/>
        <v>101678136</v>
      </c>
      <c r="G27" s="1">
        <f t="shared" si="5"/>
        <v>102192089</v>
      </c>
      <c r="H27" s="1">
        <f t="shared" si="5"/>
        <v>102708380</v>
      </c>
      <c r="I27" s="1">
        <f t="shared" si="5"/>
        <v>103227015</v>
      </c>
      <c r="J27" s="1">
        <f t="shared" si="5"/>
        <v>103748000</v>
      </c>
      <c r="K27" s="1">
        <f t="shared" si="5"/>
        <v>104271341</v>
      </c>
      <c r="L27" s="1">
        <f t="shared" si="5"/>
        <v>104797044</v>
      </c>
      <c r="M27" s="1">
        <f t="shared" si="5"/>
        <v>105325115</v>
      </c>
      <c r="N27" s="1">
        <f t="shared" si="5"/>
        <v>105855560</v>
      </c>
      <c r="O27" s="1">
        <f t="shared" si="5"/>
        <v>106388385</v>
      </c>
      <c r="P27" s="1">
        <f t="shared" si="5"/>
        <v>106923596</v>
      </c>
      <c r="Q27" s="1">
        <f t="shared" si="5"/>
        <v>107461199</v>
      </c>
      <c r="R27" s="1">
        <f t="shared" si="5"/>
        <v>108001200</v>
      </c>
      <c r="S27" s="1">
        <f t="shared" si="5"/>
        <v>108543605</v>
      </c>
      <c r="T27" s="1">
        <f t="shared" si="5"/>
        <v>109088420</v>
      </c>
    </row>
    <row r="28" spans="3:20" ht="16" customHeight="1">
      <c r="C28" s="35">
        <v>27</v>
      </c>
      <c r="D28" s="71">
        <f t="shared" si="4"/>
        <v>300</v>
      </c>
      <c r="E28" s="1">
        <f t="shared" si="5"/>
        <v>101691072</v>
      </c>
      <c r="F28" s="1">
        <f t="shared" si="5"/>
        <v>102203869</v>
      </c>
      <c r="G28" s="1">
        <f t="shared" si="5"/>
        <v>102719000</v>
      </c>
      <c r="H28" s="1">
        <f t="shared" si="5"/>
        <v>103236471</v>
      </c>
      <c r="I28" s="1">
        <f t="shared" si="5"/>
        <v>103756288</v>
      </c>
      <c r="J28" s="1">
        <f t="shared" si="5"/>
        <v>104278457</v>
      </c>
      <c r="K28" s="1">
        <f t="shared" si="5"/>
        <v>104802984</v>
      </c>
      <c r="L28" s="1">
        <f t="shared" si="5"/>
        <v>105329875</v>
      </c>
      <c r="M28" s="1">
        <f t="shared" si="5"/>
        <v>105859136</v>
      </c>
      <c r="N28" s="1">
        <f t="shared" si="5"/>
        <v>106390773</v>
      </c>
      <c r="O28" s="1">
        <f t="shared" si="5"/>
        <v>106924792</v>
      </c>
      <c r="P28" s="1">
        <f t="shared" si="5"/>
        <v>107461199</v>
      </c>
      <c r="Q28" s="1">
        <f t="shared" si="5"/>
        <v>108000000</v>
      </c>
      <c r="R28" s="1">
        <f t="shared" si="5"/>
        <v>108541201</v>
      </c>
      <c r="S28" s="1">
        <f t="shared" si="5"/>
        <v>109084808</v>
      </c>
      <c r="T28" s="1">
        <f t="shared" si="5"/>
        <v>109630827</v>
      </c>
    </row>
    <row r="29" spans="3:20" ht="16" customHeight="1">
      <c r="C29" s="35">
        <v>28</v>
      </c>
      <c r="D29" s="71">
        <f t="shared" si="4"/>
        <v>301</v>
      </c>
      <c r="E29" s="1">
        <f t="shared" si="5"/>
        <v>102218005</v>
      </c>
      <c r="F29" s="1">
        <f t="shared" si="5"/>
        <v>102731980</v>
      </c>
      <c r="G29" s="1">
        <f t="shared" si="5"/>
        <v>103248291</v>
      </c>
      <c r="H29" s="1">
        <f t="shared" si="5"/>
        <v>103766944</v>
      </c>
      <c r="I29" s="1">
        <f t="shared" si="5"/>
        <v>104287945</v>
      </c>
      <c r="J29" s="1">
        <f t="shared" si="5"/>
        <v>104811300</v>
      </c>
      <c r="K29" s="1">
        <f t="shared" si="5"/>
        <v>105337015</v>
      </c>
      <c r="L29" s="1">
        <f t="shared" si="5"/>
        <v>105865096</v>
      </c>
      <c r="M29" s="1">
        <f t="shared" si="5"/>
        <v>106395549</v>
      </c>
      <c r="N29" s="1">
        <f t="shared" si="5"/>
        <v>106928380</v>
      </c>
      <c r="O29" s="1">
        <f t="shared" si="5"/>
        <v>107463595</v>
      </c>
      <c r="P29" s="1">
        <f t="shared" si="5"/>
        <v>108001200</v>
      </c>
      <c r="Q29" s="1">
        <f t="shared" si="5"/>
        <v>108541201</v>
      </c>
      <c r="R29" s="1">
        <f t="shared" si="5"/>
        <v>109083604</v>
      </c>
      <c r="S29" s="1">
        <f t="shared" si="5"/>
        <v>109628415</v>
      </c>
      <c r="T29" s="1">
        <f t="shared" si="5"/>
        <v>110175640</v>
      </c>
    </row>
    <row r="30" spans="3:20" ht="16" customHeight="1">
      <c r="C30" s="35">
        <v>29</v>
      </c>
      <c r="D30" s="71">
        <f t="shared" si="4"/>
        <v>302</v>
      </c>
      <c r="E30" s="1">
        <f t="shared" si="5"/>
        <v>102747320</v>
      </c>
      <c r="F30" s="1">
        <f t="shared" si="5"/>
        <v>103262475</v>
      </c>
      <c r="G30" s="1">
        <f t="shared" si="5"/>
        <v>103779968</v>
      </c>
      <c r="H30" s="1">
        <f t="shared" si="5"/>
        <v>104299805</v>
      </c>
      <c r="I30" s="1">
        <f t="shared" si="5"/>
        <v>104821992</v>
      </c>
      <c r="J30" s="1">
        <f t="shared" si="5"/>
        <v>105346535</v>
      </c>
      <c r="K30" s="1">
        <f t="shared" si="5"/>
        <v>105873440</v>
      </c>
      <c r="L30" s="1">
        <f t="shared" si="5"/>
        <v>106402713</v>
      </c>
      <c r="M30" s="1">
        <f t="shared" si="5"/>
        <v>106934360</v>
      </c>
      <c r="N30" s="1">
        <f t="shared" si="5"/>
        <v>107468387</v>
      </c>
      <c r="O30" s="1">
        <f t="shared" si="5"/>
        <v>108004800</v>
      </c>
      <c r="P30" s="1">
        <f t="shared" si="5"/>
        <v>108543605</v>
      </c>
      <c r="Q30" s="1">
        <f t="shared" si="5"/>
        <v>109084808</v>
      </c>
      <c r="R30" s="1">
        <f t="shared" si="5"/>
        <v>109628415</v>
      </c>
      <c r="S30" s="1">
        <f t="shared" si="5"/>
        <v>110174432</v>
      </c>
      <c r="T30" s="1">
        <f t="shared" si="5"/>
        <v>110722865</v>
      </c>
    </row>
    <row r="31" spans="3:20" ht="16" customHeight="1">
      <c r="C31" s="35">
        <v>30</v>
      </c>
      <c r="D31" s="71">
        <f t="shared" si="4"/>
        <v>303</v>
      </c>
      <c r="E31" s="1">
        <f t="shared" si="5"/>
        <v>103279023</v>
      </c>
      <c r="F31" s="1">
        <f t="shared" si="5"/>
        <v>103795360</v>
      </c>
      <c r="G31" s="1">
        <f t="shared" si="5"/>
        <v>104314037</v>
      </c>
      <c r="H31" s="1">
        <f t="shared" si="5"/>
        <v>104835060</v>
      </c>
      <c r="I31" s="1">
        <f t="shared" si="5"/>
        <v>105358435</v>
      </c>
      <c r="J31" s="1">
        <f t="shared" si="5"/>
        <v>105884168</v>
      </c>
      <c r="K31" s="1">
        <f t="shared" si="5"/>
        <v>106412265</v>
      </c>
      <c r="L31" s="1">
        <f t="shared" si="5"/>
        <v>106942732</v>
      </c>
      <c r="M31" s="1">
        <f t="shared" si="5"/>
        <v>107475575</v>
      </c>
      <c r="N31" s="1">
        <f t="shared" si="5"/>
        <v>108010800</v>
      </c>
      <c r="O31" s="1">
        <f t="shared" si="5"/>
        <v>108548413</v>
      </c>
      <c r="P31" s="1">
        <f t="shared" si="5"/>
        <v>109088420</v>
      </c>
      <c r="Q31" s="1">
        <f t="shared" si="5"/>
        <v>109630827</v>
      </c>
      <c r="R31" s="1">
        <f t="shared" si="5"/>
        <v>110175640</v>
      </c>
      <c r="S31" s="1">
        <f t="shared" si="5"/>
        <v>110722865</v>
      </c>
      <c r="T31" s="1">
        <f t="shared" si="5"/>
        <v>111272508</v>
      </c>
    </row>
    <row r="33" spans="5:20" ht="16" customHeight="1">
      <c r="S33" s="73" t="s">
        <v>84</v>
      </c>
      <c r="T33" s="74">
        <f>(T31-E16)/T31</f>
        <v>0.14128395488308756</v>
      </c>
    </row>
    <row r="35" spans="5:20" ht="16" customHeight="1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5:20" ht="16" customHeight="1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5:20" ht="16" customHeight="1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5:20" ht="16" customHeight="1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5:20" ht="16" customHeight="1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5:20" ht="16" customHeight="1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5:20" ht="16" customHeight="1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5:20" ht="16" customHeight="1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5:20" ht="16" customHeight="1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5:20" ht="16" customHeight="1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5:20" ht="16" customHeight="1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5:20" ht="16" customHeight="1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phoneticPr fontId="3"/>
  <pageMargins left="0.7" right="0.7" top="0.75" bottom="0.75" header="0.51200000000000001" footer="0.51200000000000001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31"/>
  <sheetViews>
    <sheetView workbookViewId="0"/>
  </sheetViews>
  <sheetFormatPr baseColWidth="12" defaultRowHeight="19" x14ac:dyDescent="0"/>
  <cols>
    <col min="1" max="2" width="4.375" style="2" customWidth="1"/>
    <col min="3" max="3" width="2.25" style="2" customWidth="1"/>
    <col min="4" max="4" width="13.875" style="2" customWidth="1"/>
    <col min="5" max="5" width="15.125" style="2" customWidth="1"/>
    <col min="6" max="6" width="5.75" style="2" customWidth="1"/>
    <col min="7" max="7" width="4.25" style="2" customWidth="1"/>
    <col min="8" max="8" width="4.75" style="2" customWidth="1"/>
    <col min="9" max="9" width="6.125" style="2" customWidth="1"/>
    <col min="10" max="10" width="1.5" style="2" customWidth="1"/>
    <col min="11" max="11" width="6.5" style="2" customWidth="1"/>
    <col min="12" max="12" width="2.75" style="2" customWidth="1"/>
    <col min="13" max="13" width="7.875" style="2" customWidth="1"/>
    <col min="14" max="14" width="6.5" style="2" customWidth="1"/>
    <col min="15" max="15" width="6.625" style="2" customWidth="1"/>
    <col min="16" max="16" width="7.125" style="2" customWidth="1"/>
    <col min="17" max="16384" width="12.625" style="2"/>
  </cols>
  <sheetData>
    <row r="3" spans="3:16">
      <c r="C3" s="10"/>
      <c r="D3" s="10"/>
      <c r="E3" s="10"/>
      <c r="F3" s="10"/>
      <c r="G3" s="10"/>
      <c r="H3" s="10"/>
      <c r="I3" s="10"/>
      <c r="J3" s="10"/>
      <c r="K3" s="10"/>
      <c r="M3" s="3" t="s">
        <v>8</v>
      </c>
    </row>
    <row r="4" spans="3:16">
      <c r="C4" s="10"/>
      <c r="D4" s="10"/>
      <c r="E4" s="10"/>
      <c r="F4" s="11" t="s">
        <v>65</v>
      </c>
      <c r="G4" s="11"/>
      <c r="H4" s="11" t="s">
        <v>9</v>
      </c>
      <c r="I4" s="12" t="s">
        <v>15</v>
      </c>
      <c r="J4" s="10"/>
      <c r="K4" s="11" t="s">
        <v>8</v>
      </c>
      <c r="L4" s="3" t="s">
        <v>3</v>
      </c>
      <c r="M4" s="4">
        <v>20</v>
      </c>
    </row>
    <row r="5" spans="3:16">
      <c r="C5" s="15" t="s">
        <v>4</v>
      </c>
      <c r="D5" s="15"/>
      <c r="E5" s="15" t="s">
        <v>22</v>
      </c>
      <c r="F5" s="15">
        <v>9</v>
      </c>
      <c r="G5" s="15"/>
      <c r="H5" s="15" t="s">
        <v>23</v>
      </c>
      <c r="I5" s="16">
        <f>1/F5</f>
        <v>0.1111111111111111</v>
      </c>
      <c r="J5" s="15"/>
      <c r="K5" s="17">
        <v>20</v>
      </c>
      <c r="L5" s="5"/>
      <c r="M5" s="5">
        <f>M$4-SUM(I$5:I5)/I$14*(M$4-K$13)</f>
        <v>14.401882108797027</v>
      </c>
    </row>
    <row r="6" spans="3:16">
      <c r="C6" s="10" t="s">
        <v>5</v>
      </c>
      <c r="D6" s="10"/>
      <c r="E6" s="10"/>
      <c r="F6" s="10"/>
      <c r="G6" s="10"/>
      <c r="H6" s="10"/>
      <c r="I6" s="10"/>
      <c r="J6" s="10"/>
      <c r="K6" s="13"/>
      <c r="L6" s="5"/>
      <c r="M6" s="5">
        <f>M$4-SUM(I$5:I6)/I$14*(M$4-K$13)</f>
        <v>14.401882108797027</v>
      </c>
    </row>
    <row r="7" spans="3:16">
      <c r="C7" s="23" t="s">
        <v>26</v>
      </c>
      <c r="D7" s="24" t="s">
        <v>10</v>
      </c>
      <c r="E7" s="24" t="s">
        <v>16</v>
      </c>
      <c r="F7" s="24">
        <v>0.22</v>
      </c>
      <c r="G7" s="24"/>
      <c r="H7" s="24">
        <v>10</v>
      </c>
      <c r="I7" s="25">
        <f>H7/F7/1000</f>
        <v>4.5454545454545456E-2</v>
      </c>
      <c r="J7" s="24"/>
      <c r="K7" s="26">
        <f>SUM(I7:I$12)/I$14*(K$5-K$13)+K$13</f>
        <v>14.401882108797023</v>
      </c>
      <c r="L7" s="5"/>
      <c r="M7" s="5">
        <f>M$4-SUM(I$5:I7)/I$14*(M$4-K$13)</f>
        <v>12.11174297148672</v>
      </c>
    </row>
    <row r="8" spans="3:16">
      <c r="C8" s="18" t="s">
        <v>27</v>
      </c>
      <c r="D8" s="15" t="s">
        <v>13</v>
      </c>
      <c r="E8" s="15"/>
      <c r="F8" s="15"/>
      <c r="G8" s="15"/>
      <c r="H8" s="15"/>
      <c r="I8" s="16">
        <v>0.09</v>
      </c>
      <c r="J8" s="15"/>
      <c r="K8" s="17">
        <f>SUM(I8:I$12)/I$14*(K$5-K$13)+K$13</f>
        <v>12.111742971486718</v>
      </c>
      <c r="L8" s="5"/>
    </row>
    <row r="9" spans="3:16">
      <c r="C9" s="19" t="s">
        <v>28</v>
      </c>
      <c r="D9" s="20" t="s">
        <v>7</v>
      </c>
      <c r="E9" s="20" t="s">
        <v>16</v>
      </c>
      <c r="F9" s="20">
        <v>1.6</v>
      </c>
      <c r="G9" s="20"/>
      <c r="H9" s="20">
        <v>120</v>
      </c>
      <c r="I9" s="21">
        <f>H9/F9/1000</f>
        <v>7.4999999999999997E-2</v>
      </c>
      <c r="J9" s="20"/>
      <c r="K9" s="22">
        <f>SUM(I9:I$12)/I$14*(K$5-K$13)+K$13</f>
        <v>7.5772674796123116</v>
      </c>
      <c r="L9" s="5"/>
      <c r="M9" s="5">
        <f>M$4-SUM(I$5:I9)/I$14*(M$4-K$13)</f>
        <v>3.7985379030503061</v>
      </c>
    </row>
    <row r="10" spans="3:16">
      <c r="C10" s="27" t="s">
        <v>29</v>
      </c>
      <c r="D10" s="28" t="s">
        <v>12</v>
      </c>
      <c r="E10" s="28" t="s">
        <v>16</v>
      </c>
      <c r="F10" s="28">
        <v>0.94</v>
      </c>
      <c r="G10" s="28"/>
      <c r="H10" s="28">
        <v>30</v>
      </c>
      <c r="I10" s="29">
        <f>H10/F10/1000</f>
        <v>3.1914893617021281E-2</v>
      </c>
      <c r="J10" s="28"/>
      <c r="K10" s="30">
        <f>SUM(I10:I$12)/I$14*(K$5-K$13)+K$13</f>
        <v>3.7985379030503057</v>
      </c>
      <c r="L10" s="5"/>
      <c r="M10" s="5">
        <f>M$4-SUM(I$5:I10)/I$14*(M$4-K$13)</f>
        <v>2.1905678704707299</v>
      </c>
    </row>
    <row r="11" spans="3:16">
      <c r="C11" s="10"/>
      <c r="D11" s="10"/>
      <c r="E11" s="10"/>
      <c r="F11" s="10"/>
      <c r="G11" s="10"/>
      <c r="H11" s="10"/>
      <c r="I11" s="14"/>
      <c r="J11" s="10"/>
      <c r="K11" s="13"/>
      <c r="L11" s="5"/>
      <c r="M11" s="5">
        <f>M$4-SUM(I$5:I11)/I$14*(M$4-K$13)</f>
        <v>2.1905678704707299</v>
      </c>
    </row>
    <row r="12" spans="3:16">
      <c r="C12" s="15" t="s">
        <v>6</v>
      </c>
      <c r="D12" s="15"/>
      <c r="E12" s="15" t="s">
        <v>22</v>
      </c>
      <c r="F12" s="15">
        <v>23</v>
      </c>
      <c r="G12" s="15"/>
      <c r="H12" s="15" t="s">
        <v>23</v>
      </c>
      <c r="I12" s="16">
        <f>1/F12</f>
        <v>4.3478260869565216E-2</v>
      </c>
      <c r="J12" s="15"/>
      <c r="K12" s="17">
        <f>SUM(I12:I$12)/I$14*(K$5-K$13)+K$13</f>
        <v>2.1905678704707285</v>
      </c>
      <c r="L12" s="5"/>
      <c r="M12" s="5">
        <f>M$4-SUM(I$5:I12)/I$14*(M$4-K$13)</f>
        <v>0</v>
      </c>
      <c r="P12" s="2" t="s">
        <v>59</v>
      </c>
    </row>
    <row r="13" spans="3:16">
      <c r="C13" s="10"/>
      <c r="D13" s="10"/>
      <c r="E13" s="10"/>
      <c r="F13" s="10"/>
      <c r="G13" s="10"/>
      <c r="H13" s="10"/>
      <c r="I13" s="10"/>
      <c r="J13" s="10"/>
      <c r="K13" s="13">
        <v>0</v>
      </c>
      <c r="L13" s="5"/>
      <c r="M13" s="5"/>
    </row>
    <row r="14" spans="3:16">
      <c r="C14" s="10"/>
      <c r="D14" s="10"/>
      <c r="E14" s="10"/>
      <c r="F14" s="10"/>
      <c r="G14" s="10"/>
      <c r="H14" s="11" t="s">
        <v>30</v>
      </c>
      <c r="I14" s="16">
        <f>SUM(I5:I12)</f>
        <v>0.39695881105224307</v>
      </c>
      <c r="J14" s="10" t="s">
        <v>24</v>
      </c>
      <c r="K14" s="10"/>
    </row>
    <row r="15" spans="3:16">
      <c r="C15" s="10"/>
      <c r="D15" s="10"/>
      <c r="E15" s="10"/>
      <c r="F15" s="10"/>
      <c r="G15" s="10"/>
      <c r="H15" s="11" t="s">
        <v>31</v>
      </c>
      <c r="I15" s="31">
        <f>1/I14</f>
        <v>2.5191530510413376</v>
      </c>
      <c r="J15" s="10" t="s">
        <v>25</v>
      </c>
      <c r="K15" s="10"/>
      <c r="N15" s="2" t="s">
        <v>55</v>
      </c>
    </row>
    <row r="16" spans="3:16">
      <c r="H16" s="7"/>
      <c r="I16" s="8">
        <f>I15*0.86</f>
        <v>2.1664716238955504</v>
      </c>
      <c r="K16" s="2" t="s">
        <v>54</v>
      </c>
      <c r="N16" s="5">
        <f>I16*40*2.5</f>
        <v>216.64716238955504</v>
      </c>
      <c r="O16" s="2" t="s">
        <v>56</v>
      </c>
    </row>
    <row r="17" spans="3:18">
      <c r="I17" s="8"/>
    </row>
    <row r="18" spans="3:18">
      <c r="C18" s="10"/>
      <c r="D18" s="10"/>
      <c r="E18" s="10"/>
      <c r="F18" s="11" t="s">
        <v>65</v>
      </c>
      <c r="G18" s="11"/>
      <c r="H18" s="11" t="s">
        <v>9</v>
      </c>
      <c r="I18" s="12" t="s">
        <v>15</v>
      </c>
      <c r="J18" s="10"/>
      <c r="K18" s="11" t="s">
        <v>8</v>
      </c>
      <c r="L18" s="3" t="s">
        <v>3</v>
      </c>
    </row>
    <row r="19" spans="3:18">
      <c r="C19" s="15" t="s">
        <v>4</v>
      </c>
      <c r="D19" s="15"/>
      <c r="E19" s="15" t="s">
        <v>22</v>
      </c>
      <c r="F19" s="15">
        <v>9</v>
      </c>
      <c r="G19" s="15"/>
      <c r="H19" s="15" t="s">
        <v>23</v>
      </c>
      <c r="I19" s="31">
        <f>1/F19</f>
        <v>0.1111111111111111</v>
      </c>
      <c r="J19" s="15"/>
      <c r="K19" s="17">
        <v>20</v>
      </c>
      <c r="L19" s="4"/>
    </row>
    <row r="20" spans="3:18">
      <c r="C20" s="10" t="s">
        <v>5</v>
      </c>
      <c r="D20" s="10"/>
      <c r="E20" s="10"/>
      <c r="F20" s="10"/>
      <c r="G20" s="10"/>
      <c r="H20" s="10"/>
      <c r="I20" s="10"/>
      <c r="K20" s="5"/>
      <c r="L20" s="5"/>
    </row>
    <row r="21" spans="3:18">
      <c r="C21" s="23" t="s">
        <v>26</v>
      </c>
      <c r="D21" s="24" t="s">
        <v>10</v>
      </c>
      <c r="E21" s="24" t="s">
        <v>16</v>
      </c>
      <c r="F21" s="24">
        <v>0.22</v>
      </c>
      <c r="G21" s="24"/>
      <c r="H21" s="24">
        <v>10</v>
      </c>
      <c r="I21" s="25">
        <f>H21/F21/1000</f>
        <v>4.5454545454545456E-2</v>
      </c>
      <c r="J21" s="24"/>
      <c r="K21" s="26">
        <f>SUM(I21:I$27)/I$29*(K$19-K$28)+K$28</f>
        <v>18.650711719498045</v>
      </c>
      <c r="L21" s="5"/>
    </row>
    <row r="22" spans="3:18" ht="21">
      <c r="C22" s="19" t="s">
        <v>18</v>
      </c>
      <c r="D22" s="20" t="s">
        <v>14</v>
      </c>
      <c r="E22" s="20" t="s">
        <v>16</v>
      </c>
      <c r="F22" s="20">
        <v>2.8000000000000001E-2</v>
      </c>
      <c r="G22" s="20"/>
      <c r="H22" s="20">
        <v>35</v>
      </c>
      <c r="I22" s="21">
        <f>H22/F22/1000</f>
        <v>1.25</v>
      </c>
      <c r="J22" s="20"/>
      <c r="K22" s="22">
        <f>SUM(I22:I$27)/I$29*(K$19-K$28)+K$28</f>
        <v>18.098730150201796</v>
      </c>
      <c r="L22" s="5"/>
      <c r="P22" s="2" t="s">
        <v>2</v>
      </c>
    </row>
    <row r="23" spans="3:18" ht="21">
      <c r="C23" s="18" t="s">
        <v>19</v>
      </c>
      <c r="D23" s="15" t="s">
        <v>13</v>
      </c>
      <c r="E23" s="15"/>
      <c r="F23" s="15"/>
      <c r="G23" s="15"/>
      <c r="H23" s="15"/>
      <c r="I23" s="31">
        <v>0.09</v>
      </c>
      <c r="J23" s="15"/>
      <c r="K23" s="17">
        <f>SUM(I23:I$27)/I$29*(K$19-K$28)+K$28</f>
        <v>2.9192369945548196</v>
      </c>
      <c r="L23" s="5"/>
      <c r="P23" s="78">
        <v>20</v>
      </c>
      <c r="Q23" s="2" t="s">
        <v>60</v>
      </c>
    </row>
    <row r="24" spans="3:18" ht="21">
      <c r="C24" s="19" t="s">
        <v>20</v>
      </c>
      <c r="D24" s="20" t="s">
        <v>7</v>
      </c>
      <c r="E24" s="20" t="s">
        <v>16</v>
      </c>
      <c r="F24" s="20">
        <v>1.6</v>
      </c>
      <c r="G24" s="20"/>
      <c r="H24" s="20">
        <v>120</v>
      </c>
      <c r="I24" s="21">
        <f>H24/F24/1000</f>
        <v>7.4999999999999997E-2</v>
      </c>
      <c r="J24" s="20"/>
      <c r="K24" s="22">
        <f>SUM(I24:I$27)/I$29*(K$19-K$28)+K$28</f>
        <v>1.8263134873482381</v>
      </c>
      <c r="L24" s="5"/>
      <c r="P24" s="77">
        <f>(N16-N31)*P23</f>
        <v>3288.5941186825894</v>
      </c>
      <c r="Q24" s="2" t="s">
        <v>57</v>
      </c>
      <c r="R24" s="76" t="s">
        <v>116</v>
      </c>
    </row>
    <row r="25" spans="3:18" ht="21">
      <c r="C25" s="27" t="s">
        <v>21</v>
      </c>
      <c r="D25" s="28" t="s">
        <v>12</v>
      </c>
      <c r="E25" s="28" t="s">
        <v>16</v>
      </c>
      <c r="F25" s="28">
        <v>0.94</v>
      </c>
      <c r="G25" s="28"/>
      <c r="H25" s="28">
        <v>30</v>
      </c>
      <c r="I25" s="29">
        <f>H25/F25/1000</f>
        <v>3.1914893617021281E-2</v>
      </c>
      <c r="J25" s="28"/>
      <c r="K25" s="30">
        <f>SUM(I25:I$27)/I$29*(K$19-K$28)+K$28</f>
        <v>0.91554389800941971</v>
      </c>
      <c r="L25" s="5"/>
      <c r="P25" s="77">
        <f>P24/8400*1000</f>
        <v>391.49929984316537</v>
      </c>
      <c r="Q25" s="2" t="s">
        <v>58</v>
      </c>
      <c r="R25" s="9"/>
    </row>
    <row r="26" spans="3:18">
      <c r="I26" s="6"/>
      <c r="K26" s="5"/>
      <c r="L26" s="5"/>
    </row>
    <row r="27" spans="3:18">
      <c r="C27" s="15" t="s">
        <v>6</v>
      </c>
      <c r="D27" s="15"/>
      <c r="E27" s="15" t="s">
        <v>17</v>
      </c>
      <c r="F27" s="15">
        <v>23</v>
      </c>
      <c r="G27" s="15"/>
      <c r="H27" s="15" t="s">
        <v>11</v>
      </c>
      <c r="I27" s="31">
        <f>1/F27</f>
        <v>4.3478260869565216E-2</v>
      </c>
      <c r="J27" s="15"/>
      <c r="K27" s="17">
        <f>SUM(I27:I$27)/I$29*(K$19-K$28)+K$28</f>
        <v>0.52798237063119902</v>
      </c>
      <c r="L27" s="5"/>
    </row>
    <row r="28" spans="3:18">
      <c r="C28" s="10"/>
      <c r="D28" s="10"/>
      <c r="E28" s="10"/>
      <c r="F28" s="10"/>
      <c r="G28" s="10"/>
      <c r="H28" s="10"/>
      <c r="I28" s="10"/>
      <c r="J28" s="10"/>
      <c r="K28" s="13">
        <v>0</v>
      </c>
      <c r="L28" s="5"/>
    </row>
    <row r="29" spans="3:18">
      <c r="C29" s="10"/>
      <c r="D29" s="10"/>
      <c r="E29" s="10"/>
      <c r="F29" s="10"/>
      <c r="G29" s="10"/>
      <c r="H29" s="11" t="s">
        <v>32</v>
      </c>
      <c r="I29" s="31">
        <f>SUM(I19:I27)</f>
        <v>1.6469588110522431</v>
      </c>
      <c r="J29" s="10" t="s">
        <v>24</v>
      </c>
      <c r="K29" s="10"/>
    </row>
    <row r="30" spans="3:18">
      <c r="C30" s="10"/>
      <c r="D30" s="10"/>
      <c r="E30" s="10"/>
      <c r="F30" s="10"/>
      <c r="G30" s="10"/>
      <c r="H30" s="11" t="s">
        <v>31</v>
      </c>
      <c r="I30" s="31">
        <f>1/I29</f>
        <v>0.6071797262258789</v>
      </c>
      <c r="J30" s="10" t="s">
        <v>25</v>
      </c>
      <c r="K30" s="10"/>
      <c r="N30" s="2" t="s">
        <v>55</v>
      </c>
    </row>
    <row r="31" spans="3:18">
      <c r="H31" s="7"/>
      <c r="I31" s="8">
        <f>I30*0.86</f>
        <v>0.52217456455425582</v>
      </c>
      <c r="K31" s="2" t="s">
        <v>54</v>
      </c>
      <c r="N31" s="5">
        <f>I31*40*2.5</f>
        <v>52.217456455425584</v>
      </c>
      <c r="O31" s="2" t="s">
        <v>56</v>
      </c>
    </row>
  </sheetData>
  <phoneticPr fontId="3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7"/>
  <sheetViews>
    <sheetView workbookViewId="0"/>
  </sheetViews>
  <sheetFormatPr baseColWidth="12" defaultRowHeight="18" x14ac:dyDescent="0"/>
  <cols>
    <col min="1" max="2" width="4.375" customWidth="1"/>
  </cols>
  <sheetData>
    <row r="3" spans="3:3">
      <c r="C3" t="s">
        <v>87</v>
      </c>
    </row>
    <row r="4" spans="3:3">
      <c r="C4" s="66" t="s">
        <v>86</v>
      </c>
    </row>
    <row r="6" spans="3:3">
      <c r="C6" t="s">
        <v>88</v>
      </c>
    </row>
    <row r="7" spans="3:3">
      <c r="C7" s="66" t="s">
        <v>89</v>
      </c>
    </row>
  </sheetData>
  <phoneticPr fontId="3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B33"/>
  <sheetViews>
    <sheetView workbookViewId="0"/>
  </sheetViews>
  <sheetFormatPr baseColWidth="12" defaultRowHeight="19" x14ac:dyDescent="0"/>
  <cols>
    <col min="1" max="2" width="4.375" style="2" customWidth="1"/>
    <col min="3" max="3" width="2.25" style="2" customWidth="1"/>
    <col min="4" max="4" width="13.875" style="2" customWidth="1"/>
    <col min="5" max="5" width="15.125" style="2" customWidth="1"/>
    <col min="6" max="6" width="5.75" style="2" customWidth="1"/>
    <col min="7" max="7" width="4.25" style="2" customWidth="1"/>
    <col min="8" max="8" width="4.75" style="2" customWidth="1"/>
    <col min="9" max="9" width="6.125" style="2" customWidth="1"/>
    <col min="10" max="10" width="1.5" style="2" customWidth="1"/>
    <col min="11" max="11" width="6.5" style="2" customWidth="1"/>
    <col min="12" max="12" width="2.75" style="2" customWidth="1"/>
    <col min="13" max="13" width="7.875" style="2" customWidth="1"/>
    <col min="14" max="14" width="6.5" style="2" customWidth="1"/>
    <col min="15" max="15" width="6.625" style="2" customWidth="1"/>
    <col min="16" max="16" width="2.25" style="2" customWidth="1"/>
    <col min="17" max="17" width="12.25" style="2" customWidth="1"/>
    <col min="18" max="18" width="5.5" style="2" customWidth="1"/>
    <col min="19" max="19" width="6.5" style="2" customWidth="1"/>
    <col min="20" max="20" width="8.25" style="2" customWidth="1"/>
    <col min="21" max="21" width="3.5" style="2" customWidth="1"/>
    <col min="22" max="22" width="11" style="2" customWidth="1"/>
    <col min="23" max="23" width="7.875" style="2" customWidth="1"/>
    <col min="24" max="24" width="6.875" style="2" customWidth="1"/>
    <col min="25" max="25" width="2.75" style="2" customWidth="1"/>
    <col min="26" max="27" width="7.875" style="2" customWidth="1"/>
    <col min="28" max="28" width="13.125" style="2" customWidth="1"/>
    <col min="29" max="16384" width="12.625" style="2"/>
  </cols>
  <sheetData>
    <row r="3" spans="3:28">
      <c r="C3" s="2" t="s">
        <v>46</v>
      </c>
      <c r="P3" s="2" t="s">
        <v>53</v>
      </c>
      <c r="V3" s="54"/>
    </row>
    <row r="4" spans="3:28">
      <c r="C4" s="10"/>
      <c r="D4" s="10"/>
      <c r="E4" s="10"/>
      <c r="F4" s="10"/>
      <c r="G4" s="10"/>
      <c r="H4" s="10"/>
      <c r="I4" s="10"/>
      <c r="J4" s="10"/>
      <c r="K4" s="10"/>
      <c r="M4" s="3" t="s">
        <v>8</v>
      </c>
      <c r="P4" s="10"/>
      <c r="Q4" s="10"/>
      <c r="R4" s="38" t="s">
        <v>67</v>
      </c>
      <c r="S4" s="10"/>
      <c r="T4" s="37" t="s">
        <v>68</v>
      </c>
      <c r="U4" s="10"/>
      <c r="V4" s="55" t="s">
        <v>64</v>
      </c>
      <c r="W4" s="10" t="s">
        <v>72</v>
      </c>
      <c r="X4" s="10" t="s">
        <v>73</v>
      </c>
      <c r="Z4" s="37" t="s">
        <v>71</v>
      </c>
      <c r="AA4" s="37"/>
      <c r="AB4" s="37"/>
    </row>
    <row r="5" spans="3:28">
      <c r="C5" s="10"/>
      <c r="D5" s="10"/>
      <c r="E5" s="10"/>
      <c r="F5" s="11" t="s">
        <v>65</v>
      </c>
      <c r="G5" s="11"/>
      <c r="H5" s="11" t="s">
        <v>9</v>
      </c>
      <c r="I5" s="12" t="s">
        <v>15</v>
      </c>
      <c r="J5" s="10"/>
      <c r="K5" s="11" t="s">
        <v>8</v>
      </c>
      <c r="L5" s="3" t="s">
        <v>3</v>
      </c>
      <c r="M5" s="4">
        <v>20</v>
      </c>
      <c r="P5" s="10"/>
      <c r="Q5" s="10"/>
      <c r="R5" s="38" t="s">
        <v>66</v>
      </c>
      <c r="S5" s="38" t="s">
        <v>8</v>
      </c>
      <c r="T5" s="38" t="s">
        <v>69</v>
      </c>
      <c r="U5" s="10"/>
      <c r="V5" s="57" t="s">
        <v>76</v>
      </c>
      <c r="W5" s="38" t="s">
        <v>69</v>
      </c>
      <c r="X5" s="38" t="s">
        <v>74</v>
      </c>
      <c r="Y5" s="3" t="s">
        <v>3</v>
      </c>
      <c r="Z5" s="43">
        <v>1.38</v>
      </c>
      <c r="AA5" s="43"/>
      <c r="AB5" s="43"/>
    </row>
    <row r="6" spans="3:28">
      <c r="C6" s="15" t="s">
        <v>4</v>
      </c>
      <c r="D6" s="15"/>
      <c r="E6" s="15" t="s">
        <v>22</v>
      </c>
      <c r="F6" s="15">
        <v>9</v>
      </c>
      <c r="G6" s="15"/>
      <c r="H6" s="15" t="s">
        <v>23</v>
      </c>
      <c r="I6" s="31">
        <f>1/F6</f>
        <v>0.1111111111111111</v>
      </c>
      <c r="J6" s="15"/>
      <c r="K6" s="17">
        <v>20</v>
      </c>
      <c r="L6" s="5"/>
      <c r="M6" s="5">
        <f>M$5-SUM(I$6:I6)/I$14*(M$5-K$13)</f>
        <v>19.021002770768469</v>
      </c>
      <c r="P6" s="15" t="s">
        <v>4</v>
      </c>
      <c r="Q6" s="15"/>
      <c r="R6" s="39" t="s">
        <v>23</v>
      </c>
      <c r="S6" s="17">
        <f>K6</f>
        <v>20</v>
      </c>
      <c r="T6" s="45">
        <v>2.3319999999999999</v>
      </c>
      <c r="U6" s="15"/>
      <c r="V6" s="31">
        <v>2.9000000000000001E-2</v>
      </c>
      <c r="W6" s="45">
        <v>1.399</v>
      </c>
      <c r="X6" s="50">
        <f>W6/T6</f>
        <v>0.59991423670668953</v>
      </c>
      <c r="Y6" s="5"/>
      <c r="Z6" s="44"/>
      <c r="AA6" s="44"/>
      <c r="AB6" s="44"/>
    </row>
    <row r="7" spans="3:28">
      <c r="C7" s="10" t="s">
        <v>5</v>
      </c>
      <c r="D7" s="10"/>
      <c r="E7" s="10"/>
      <c r="F7" s="10"/>
      <c r="G7" s="10"/>
      <c r="H7" s="10"/>
      <c r="I7" s="10"/>
      <c r="J7" s="10"/>
      <c r="K7" s="13"/>
      <c r="L7" s="5"/>
      <c r="M7" s="5">
        <f>M$5-SUM(I$6:I7)/I$14*(M$5-K$13)</f>
        <v>19.021002770768469</v>
      </c>
      <c r="P7" s="10" t="s">
        <v>5</v>
      </c>
      <c r="Q7" s="10"/>
      <c r="R7" s="38"/>
      <c r="S7" s="13"/>
      <c r="T7" s="46"/>
      <c r="U7" s="10"/>
      <c r="V7" s="10"/>
      <c r="W7" s="46"/>
      <c r="X7" s="10"/>
      <c r="Y7" s="5"/>
      <c r="Z7" s="44">
        <f>Z$5-SUM(V$6:V7)/V$14*(Z$5-T$13)</f>
        <v>1.3763076261657516</v>
      </c>
      <c r="AA7" s="44"/>
      <c r="AB7" s="44"/>
    </row>
    <row r="8" spans="3:28">
      <c r="C8" s="23" t="s">
        <v>26</v>
      </c>
      <c r="D8" s="24" t="s">
        <v>47</v>
      </c>
      <c r="E8" s="24" t="s">
        <v>16</v>
      </c>
      <c r="F8" s="24">
        <v>0.21299999999999999</v>
      </c>
      <c r="G8" s="24"/>
      <c r="H8" s="24">
        <v>9</v>
      </c>
      <c r="I8" s="25">
        <f>H8/F8/1000</f>
        <v>4.225352112676057E-2</v>
      </c>
      <c r="J8" s="24"/>
      <c r="K8" s="26">
        <f>SUM(I8:I$12)/I$14*(K$6-K$13)+K$13</f>
        <v>19.021002770768469</v>
      </c>
      <c r="L8" s="5"/>
      <c r="M8" s="5">
        <f>M$5-SUM(I$6:I8)/I$14*(M$5-K$13)</f>
        <v>18.648708049793097</v>
      </c>
      <c r="P8" s="23" t="s">
        <v>26</v>
      </c>
      <c r="Q8" s="24" t="s">
        <v>47</v>
      </c>
      <c r="R8" s="40">
        <v>10</v>
      </c>
      <c r="S8" s="26">
        <f>K8</f>
        <v>19.021002770768469</v>
      </c>
      <c r="T8" s="47">
        <v>2.1920000000000002</v>
      </c>
      <c r="U8" s="24"/>
      <c r="V8" s="25">
        <v>1.1040000000000001</v>
      </c>
      <c r="W8" s="47">
        <f>W$6-SUM(V$6:V6)/V$14*(W$6-W$13)</f>
        <v>1.3946314901779218</v>
      </c>
      <c r="X8" s="51">
        <f>W8/T8</f>
        <v>0.63623699369430731</v>
      </c>
      <c r="Y8" s="5"/>
      <c r="Z8" s="44">
        <f>Z$5-SUM(V$6:V8)/V$14*(Z$5-T$13)</f>
        <v>1.2357427739929889</v>
      </c>
      <c r="AA8" s="44"/>
      <c r="AB8" s="44"/>
    </row>
    <row r="9" spans="3:28">
      <c r="C9" s="19" t="s">
        <v>49</v>
      </c>
      <c r="D9" s="20" t="s">
        <v>48</v>
      </c>
      <c r="E9" s="20" t="s">
        <v>16</v>
      </c>
      <c r="F9" s="20">
        <v>4.3999999999999997E-2</v>
      </c>
      <c r="G9" s="20"/>
      <c r="H9" s="20">
        <v>90</v>
      </c>
      <c r="I9" s="21">
        <f>H9/F9/1000</f>
        <v>2.0454545454545454</v>
      </c>
      <c r="J9" s="20"/>
      <c r="K9" s="22">
        <f>SUM(I9:I$12)/I$14*(K$6-K$13)+K$13</f>
        <v>18.648708049793097</v>
      </c>
      <c r="L9" s="5"/>
      <c r="M9" s="5">
        <f>M$5-SUM(I$6:I9)/I$14*(M$5-K$13)</f>
        <v>0.62625905712171104</v>
      </c>
      <c r="P9" s="19" t="s">
        <v>49</v>
      </c>
      <c r="Q9" s="20" t="s">
        <v>48</v>
      </c>
      <c r="R9" s="41">
        <v>90</v>
      </c>
      <c r="S9" s="22">
        <f>K9</f>
        <v>18.648708049793097</v>
      </c>
      <c r="T9" s="48">
        <v>2.1379999999999999</v>
      </c>
      <c r="U9" s="20"/>
      <c r="V9" s="21">
        <v>0.54200000000000004</v>
      </c>
      <c r="W9" s="48">
        <f>W$6-SUM(V$6:V8)/V$14*(W$6-W$13)</f>
        <v>1.2283268403994974</v>
      </c>
      <c r="X9" s="52">
        <f>W9/T9</f>
        <v>0.57452144078554601</v>
      </c>
      <c r="Y9" s="5"/>
      <c r="Z9" s="44">
        <f>Z$5-SUM(V$6:V8)/V$14*(Z$5-T$13)</f>
        <v>1.2357427739929889</v>
      </c>
      <c r="AA9" s="44"/>
      <c r="AB9" s="44"/>
    </row>
    <row r="10" spans="3:28">
      <c r="C10" s="27" t="s">
        <v>50</v>
      </c>
      <c r="D10" s="28" t="s">
        <v>12</v>
      </c>
      <c r="E10" s="28" t="s">
        <v>16</v>
      </c>
      <c r="F10" s="28">
        <v>1.087</v>
      </c>
      <c r="G10" s="28"/>
      <c r="H10" s="28">
        <v>30</v>
      </c>
      <c r="I10" s="29">
        <f>H10/F10/1000</f>
        <v>2.7598896044158234E-2</v>
      </c>
      <c r="J10" s="28"/>
      <c r="K10" s="30">
        <f>SUM(I10:I$12)/I$14*(K$6-K$13)+K$13</f>
        <v>0.62625905712171082</v>
      </c>
      <c r="L10" s="5"/>
      <c r="M10" s="5">
        <f>M$5-SUM(I$6:I10)/I$14*(M$5-K$13)</f>
        <v>0.38308587230799418</v>
      </c>
      <c r="P10" s="27" t="s">
        <v>50</v>
      </c>
      <c r="Q10" s="28" t="s">
        <v>12</v>
      </c>
      <c r="R10" s="42">
        <v>30</v>
      </c>
      <c r="S10" s="30">
        <f>K10</f>
        <v>0.62625905712171082</v>
      </c>
      <c r="T10" s="49">
        <v>0.63700000000000001</v>
      </c>
      <c r="U10" s="28"/>
      <c r="V10" s="29">
        <v>4.3630000000000004</v>
      </c>
      <c r="W10" s="49">
        <f>W$6-SUM(V$6:V9)/V$14*(W$6-W$13)</f>
        <v>1.1466808982075534</v>
      </c>
      <c r="X10" s="53">
        <f>W10/T10</f>
        <v>1.8001269987559707</v>
      </c>
      <c r="Y10" s="5"/>
      <c r="Z10" s="44">
        <f>Z$5-SUM(V$6:V10)/V$14*(Z$5-T$13)</f>
        <v>0.6112223030623718</v>
      </c>
      <c r="AA10" s="44"/>
      <c r="AB10" s="44"/>
    </row>
    <row r="11" spans="3:28">
      <c r="C11" s="10"/>
      <c r="D11" s="10"/>
      <c r="E11" s="10"/>
      <c r="F11" s="10"/>
      <c r="G11" s="10"/>
      <c r="H11" s="10"/>
      <c r="I11" s="14"/>
      <c r="J11" s="10"/>
      <c r="K11" s="13"/>
      <c r="L11" s="5"/>
      <c r="M11" s="5"/>
      <c r="P11" s="10"/>
      <c r="Q11" s="10"/>
      <c r="R11" s="38"/>
      <c r="S11" s="13"/>
      <c r="T11" s="46"/>
      <c r="U11" s="10"/>
      <c r="V11" s="14"/>
      <c r="W11" s="46"/>
      <c r="X11" s="10"/>
      <c r="Y11" s="5"/>
      <c r="Z11" s="44"/>
      <c r="AA11" s="44"/>
      <c r="AB11" s="44"/>
    </row>
    <row r="12" spans="3:28">
      <c r="C12" s="15" t="s">
        <v>6</v>
      </c>
      <c r="D12" s="15"/>
      <c r="E12" s="15" t="s">
        <v>22</v>
      </c>
      <c r="F12" s="15">
        <v>23</v>
      </c>
      <c r="G12" s="15"/>
      <c r="H12" s="15" t="s">
        <v>23</v>
      </c>
      <c r="I12" s="31">
        <f>1/F12</f>
        <v>4.3478260869565216E-2</v>
      </c>
      <c r="J12" s="15"/>
      <c r="K12" s="17">
        <f>SUM(I12:I$12)/I$14*(K$6-K$13)+K$13</f>
        <v>0.38308587230799079</v>
      </c>
      <c r="L12" s="5"/>
      <c r="M12" s="5">
        <f>M$5-SUM(I$6:I12)/I$14*(M$5-K$13)</f>
        <v>0</v>
      </c>
      <c r="P12" s="15" t="s">
        <v>6</v>
      </c>
      <c r="Q12" s="15"/>
      <c r="R12" s="39" t="s">
        <v>23</v>
      </c>
      <c r="S12" s="17">
        <f>K12</f>
        <v>0.38308587230799079</v>
      </c>
      <c r="T12" s="45">
        <v>0.628</v>
      </c>
      <c r="U12" s="15"/>
      <c r="V12" s="31">
        <v>9.5999999999999992E-3</v>
      </c>
      <c r="W12" s="45">
        <f>W$6-SUM(V$6:V10)/V$14*(W$6-W$13)</f>
        <v>0.48944612738937754</v>
      </c>
      <c r="X12" s="50">
        <f>W12/T12</f>
        <v>0.77937281431429539</v>
      </c>
      <c r="Y12" s="5"/>
      <c r="Z12" s="44">
        <v>0.23</v>
      </c>
      <c r="AA12" s="44"/>
      <c r="AB12" s="44"/>
    </row>
    <row r="13" spans="3:28">
      <c r="C13" s="10"/>
      <c r="D13" s="10"/>
      <c r="E13" s="10"/>
      <c r="F13" s="10"/>
      <c r="G13" s="10"/>
      <c r="H13" s="10"/>
      <c r="I13" s="10"/>
      <c r="J13" s="10"/>
      <c r="K13" s="13">
        <v>0</v>
      </c>
      <c r="L13" s="5"/>
      <c r="M13" s="5"/>
      <c r="P13" s="10"/>
      <c r="Q13" s="10"/>
      <c r="R13" s="10"/>
      <c r="S13" s="13">
        <v>0</v>
      </c>
      <c r="T13" s="46">
        <v>0.61</v>
      </c>
      <c r="U13" s="10"/>
      <c r="V13" s="10"/>
      <c r="W13" s="46">
        <v>0.48799999999999999</v>
      </c>
      <c r="X13" s="10"/>
      <c r="Y13" s="5"/>
      <c r="Z13" s="5"/>
      <c r="AA13" s="5"/>
      <c r="AB13" s="5"/>
    </row>
    <row r="14" spans="3:28">
      <c r="C14" s="10"/>
      <c r="D14" s="10"/>
      <c r="E14" s="10"/>
      <c r="F14" s="10"/>
      <c r="G14" s="10"/>
      <c r="H14" s="11" t="s">
        <v>30</v>
      </c>
      <c r="I14" s="31">
        <f>SUM(I6:I12)</f>
        <v>2.2698963346061407</v>
      </c>
      <c r="J14" s="10" t="s">
        <v>24</v>
      </c>
      <c r="K14" s="10"/>
      <c r="P14" s="10"/>
      <c r="Q14" s="10"/>
      <c r="R14" s="11" t="s">
        <v>70</v>
      </c>
      <c r="S14" s="10"/>
      <c r="T14" s="10"/>
      <c r="U14" s="11"/>
      <c r="V14" s="31">
        <f>SUM(V6:V12)</f>
        <v>6.0476000000000001</v>
      </c>
      <c r="W14" s="37" t="s">
        <v>76</v>
      </c>
      <c r="X14" s="11"/>
    </row>
    <row r="15" spans="3:28">
      <c r="C15" s="10"/>
      <c r="D15" s="10"/>
      <c r="E15" s="10"/>
      <c r="F15" s="10"/>
      <c r="G15" s="10"/>
      <c r="H15" s="11" t="s">
        <v>31</v>
      </c>
      <c r="I15" s="31">
        <f>1/I14</f>
        <v>0.4405487531541894</v>
      </c>
      <c r="J15" s="10" t="s">
        <v>25</v>
      </c>
      <c r="K15" s="10"/>
      <c r="P15" s="10"/>
      <c r="Q15" s="10"/>
      <c r="R15" s="11"/>
      <c r="S15" s="10"/>
      <c r="T15" s="10"/>
      <c r="U15" s="10"/>
      <c r="V15" s="10"/>
      <c r="W15" s="10"/>
      <c r="X15" s="10"/>
    </row>
    <row r="16" spans="3:28">
      <c r="H16" s="7"/>
      <c r="I16" s="8">
        <f>I15*0.86</f>
        <v>0.37887192771260286</v>
      </c>
      <c r="K16" s="2" t="s">
        <v>117</v>
      </c>
      <c r="N16" s="5"/>
      <c r="R16" s="7"/>
    </row>
    <row r="17" spans="3:28">
      <c r="I17" s="8"/>
      <c r="P17" s="10"/>
      <c r="Q17" s="10"/>
      <c r="R17" s="38" t="s">
        <v>67</v>
      </c>
      <c r="S17" s="10"/>
      <c r="T17" s="37" t="s">
        <v>68</v>
      </c>
      <c r="U17" s="10"/>
      <c r="V17" s="55" t="s">
        <v>64</v>
      </c>
      <c r="W17" s="10" t="s">
        <v>72</v>
      </c>
      <c r="X17" s="10" t="s">
        <v>73</v>
      </c>
    </row>
    <row r="18" spans="3:28">
      <c r="C18" s="10"/>
      <c r="D18" s="10"/>
      <c r="E18" s="10"/>
      <c r="F18" s="11" t="s">
        <v>65</v>
      </c>
      <c r="G18" s="11"/>
      <c r="H18" s="11" t="s">
        <v>9</v>
      </c>
      <c r="I18" s="12" t="s">
        <v>15</v>
      </c>
      <c r="J18" s="10"/>
      <c r="K18" s="11" t="s">
        <v>8</v>
      </c>
      <c r="L18" s="3" t="s">
        <v>3</v>
      </c>
      <c r="M18" s="4">
        <v>20</v>
      </c>
      <c r="P18" s="10"/>
      <c r="Q18" s="10"/>
      <c r="R18" s="38" t="s">
        <v>66</v>
      </c>
      <c r="S18" s="38" t="s">
        <v>8</v>
      </c>
      <c r="T18" s="38" t="s">
        <v>69</v>
      </c>
      <c r="U18" s="10"/>
      <c r="V18" s="57" t="s">
        <v>76</v>
      </c>
      <c r="W18" s="38" t="s">
        <v>69</v>
      </c>
      <c r="X18" s="38" t="s">
        <v>74</v>
      </c>
      <c r="Y18" s="3" t="s">
        <v>3</v>
      </c>
      <c r="Z18" s="4">
        <v>20</v>
      </c>
      <c r="AA18" s="4"/>
      <c r="AB18" s="4"/>
    </row>
    <row r="19" spans="3:28">
      <c r="C19" s="15" t="s">
        <v>4</v>
      </c>
      <c r="D19" s="15"/>
      <c r="E19" s="15" t="s">
        <v>22</v>
      </c>
      <c r="F19" s="15">
        <v>9</v>
      </c>
      <c r="G19" s="15"/>
      <c r="H19" s="15" t="s">
        <v>23</v>
      </c>
      <c r="I19" s="31">
        <f>1/F19</f>
        <v>0.1111111111111111</v>
      </c>
      <c r="J19" s="15"/>
      <c r="K19" s="17">
        <v>20</v>
      </c>
      <c r="L19" s="4"/>
      <c r="M19" s="5">
        <f>M$18-SUM(I19)/I$28*(M$18-K$27)</f>
        <v>19.021002770768469</v>
      </c>
      <c r="P19" s="15" t="s">
        <v>4</v>
      </c>
      <c r="Q19" s="15"/>
      <c r="R19" s="39" t="s">
        <v>23</v>
      </c>
      <c r="S19" s="17">
        <f>K19</f>
        <v>20</v>
      </c>
      <c r="T19" s="45">
        <v>2.3319999999999999</v>
      </c>
      <c r="U19" s="15"/>
      <c r="V19" s="31">
        <v>2.9000000000000001E-2</v>
      </c>
      <c r="W19" s="45">
        <v>1.38</v>
      </c>
      <c r="X19" s="50">
        <f>W19/T19</f>
        <v>0.59176672384219553</v>
      </c>
      <c r="Y19" s="4"/>
      <c r="Z19" s="5">
        <f>Z$18-SUM(V19)/V$28*(Z$18-S$27)</f>
        <v>19.999999999999964</v>
      </c>
      <c r="AA19" s="5"/>
      <c r="AB19" s="5"/>
    </row>
    <row r="20" spans="3:28">
      <c r="C20" s="10" t="s">
        <v>5</v>
      </c>
      <c r="D20" s="10"/>
      <c r="E20" s="10"/>
      <c r="F20" s="10"/>
      <c r="G20" s="10"/>
      <c r="H20" s="10"/>
      <c r="I20" s="10"/>
      <c r="K20" s="5"/>
      <c r="L20" s="5"/>
      <c r="P20" s="10" t="s">
        <v>5</v>
      </c>
      <c r="Q20" s="10"/>
      <c r="R20" s="10"/>
      <c r="S20" s="5"/>
      <c r="T20" s="10"/>
      <c r="V20" s="10"/>
      <c r="W20" s="10"/>
      <c r="Y20" s="5"/>
    </row>
    <row r="21" spans="3:28">
      <c r="C21" s="23" t="s">
        <v>26</v>
      </c>
      <c r="D21" s="24" t="s">
        <v>47</v>
      </c>
      <c r="E21" s="24" t="s">
        <v>16</v>
      </c>
      <c r="F21" s="24">
        <v>0.21299999999999999</v>
      </c>
      <c r="G21" s="24"/>
      <c r="H21" s="24">
        <v>9</v>
      </c>
      <c r="I21" s="25">
        <f>H21/F21/1000</f>
        <v>4.225352112676057E-2</v>
      </c>
      <c r="J21" s="24"/>
      <c r="K21" s="26">
        <f>SUM(I21:I$26)/I$28*(K$19-K$27)+K$27</f>
        <v>19.021002770768469</v>
      </c>
      <c r="L21" s="5"/>
      <c r="M21" s="5">
        <f>M$18-SUM(I19:I21)/I$28*(M$18-K$27)</f>
        <v>18.648708049793097</v>
      </c>
      <c r="P21" s="23" t="s">
        <v>26</v>
      </c>
      <c r="Q21" s="24" t="s">
        <v>47</v>
      </c>
      <c r="R21" s="40">
        <v>10</v>
      </c>
      <c r="S21" s="26">
        <f>K21</f>
        <v>19.021002770768469</v>
      </c>
      <c r="T21" s="47">
        <v>2.1920000000000002</v>
      </c>
      <c r="U21" s="24"/>
      <c r="V21" s="25">
        <v>1.1040000000000001</v>
      </c>
      <c r="W21" s="47">
        <f>W$19-SUM(V$19:V19)/V$28*(W$19-W$27)</f>
        <v>1.3799999999999979</v>
      </c>
      <c r="X21" s="51">
        <f>W21/T21</f>
        <v>0.62956204379561942</v>
      </c>
      <c r="Y21" s="5"/>
      <c r="Z21" s="5">
        <f>Z$18-SUM(V19:V21)/V$28*(Z$18-S$27)</f>
        <v>19.999999999998561</v>
      </c>
      <c r="AA21" s="5"/>
      <c r="AB21" s="5"/>
    </row>
    <row r="22" spans="3:28" ht="21">
      <c r="C22" s="19" t="s">
        <v>18</v>
      </c>
      <c r="D22" s="20" t="s">
        <v>52</v>
      </c>
      <c r="E22" s="20" t="s">
        <v>16</v>
      </c>
      <c r="F22" s="20">
        <v>0.1</v>
      </c>
      <c r="G22" s="20"/>
      <c r="H22" s="20"/>
      <c r="I22" s="21">
        <f>H22/F22/1000</f>
        <v>0</v>
      </c>
      <c r="J22" s="20"/>
      <c r="K22" s="22">
        <f>SUM(I22:I$26)/I$28*(K$19-K$27)+K$27</f>
        <v>18.648708049793097</v>
      </c>
      <c r="L22" s="5"/>
      <c r="M22" s="5">
        <f>M$18-SUM(I19:I22)/I$28*(M$18-K$27)</f>
        <v>18.648708049793097</v>
      </c>
      <c r="P22" s="19" t="s">
        <v>18</v>
      </c>
      <c r="Q22" s="20" t="s">
        <v>52</v>
      </c>
      <c r="R22" s="41">
        <v>0.1</v>
      </c>
      <c r="S22" s="22">
        <f>K22</f>
        <v>18.648708049793097</v>
      </c>
      <c r="T22" s="48">
        <v>2.1379999999999999</v>
      </c>
      <c r="U22" s="20"/>
      <c r="V22" s="56">
        <f>AA22*133.33*1000*1000000000/3600</f>
        <v>15740347222222.225</v>
      </c>
      <c r="W22" s="48">
        <f>W$19-SUM(V$19:V21)/V$28*(W$19-W$27)</f>
        <v>1.3799999999999182</v>
      </c>
      <c r="X22" s="52">
        <f>W22/T22</f>
        <v>0.64546304957900758</v>
      </c>
      <c r="Y22" s="5"/>
      <c r="Z22" s="5">
        <f>Z$18-SUM(V19:V22)/V$28*(Z$18-S$27)</f>
        <v>6.2456706473312806E-12</v>
      </c>
      <c r="AA22">
        <v>425</v>
      </c>
      <c r="AB22" s="5" t="s">
        <v>131</v>
      </c>
    </row>
    <row r="23" spans="3:28" ht="21">
      <c r="C23" s="19" t="s">
        <v>51</v>
      </c>
      <c r="D23" s="20" t="s">
        <v>48</v>
      </c>
      <c r="E23" s="20" t="s">
        <v>16</v>
      </c>
      <c r="F23" s="20">
        <v>4.3999999999999997E-2</v>
      </c>
      <c r="G23" s="20"/>
      <c r="H23" s="20">
        <v>90</v>
      </c>
      <c r="I23" s="21">
        <f>H23/F23/1000</f>
        <v>2.0454545454545454</v>
      </c>
      <c r="J23" s="20"/>
      <c r="K23" s="22">
        <f>SUM(I23:I$26)/I$28*(K$19-K$27)+K$27</f>
        <v>18.648708049793097</v>
      </c>
      <c r="L23" s="5"/>
      <c r="M23" s="5">
        <f>M$18-SUM(I19:I23)/I$28*(M$18-K$27)</f>
        <v>0.62625905712171104</v>
      </c>
      <c r="P23" s="19" t="s">
        <v>51</v>
      </c>
      <c r="Q23" s="20" t="s">
        <v>48</v>
      </c>
      <c r="R23" s="41">
        <v>90</v>
      </c>
      <c r="S23" s="22">
        <f>K23</f>
        <v>18.648708049793097</v>
      </c>
      <c r="T23" s="48">
        <v>2.1379999999999999</v>
      </c>
      <c r="U23" s="20"/>
      <c r="V23" s="21">
        <v>0.54200000000000004</v>
      </c>
      <c r="W23" s="48">
        <f>W$19-SUM(V$19:V22)/V$28*(W$19-W$27)</f>
        <v>0.24400000000035482</v>
      </c>
      <c r="X23" s="52">
        <f>W23/T23</f>
        <v>0.1141253507953016</v>
      </c>
      <c r="Y23" s="5"/>
      <c r="Z23" s="5">
        <f>Z$18-SUM(V19:V23)/V$28*(Z$18-S$27)</f>
        <v>5.5564441936439835E-12</v>
      </c>
      <c r="AA23" s="5"/>
      <c r="AB23" s="5"/>
    </row>
    <row r="24" spans="3:28" ht="21">
      <c r="C24" s="28" t="s">
        <v>20</v>
      </c>
      <c r="D24" s="28" t="s">
        <v>12</v>
      </c>
      <c r="E24" s="28" t="s">
        <v>16</v>
      </c>
      <c r="F24" s="28">
        <v>1.087</v>
      </c>
      <c r="G24" s="28"/>
      <c r="H24" s="28">
        <v>30</v>
      </c>
      <c r="I24" s="29">
        <f>H24/F24/1000</f>
        <v>2.7598896044158234E-2</v>
      </c>
      <c r="J24" s="28"/>
      <c r="K24" s="30">
        <f>SUM(I24:I$26)/I$28*(K$19-K$27)+K$27</f>
        <v>0.62625905712171082</v>
      </c>
      <c r="L24" s="5"/>
      <c r="M24" s="5">
        <f>M$18-SUM(I19:I24)/I$28*(M$18-K$27)</f>
        <v>0.38308587230799418</v>
      </c>
      <c r="P24" s="28" t="s">
        <v>20</v>
      </c>
      <c r="Q24" s="28" t="s">
        <v>12</v>
      </c>
      <c r="R24" s="42">
        <v>30</v>
      </c>
      <c r="S24" s="30">
        <f>K24</f>
        <v>0.62625905712171082</v>
      </c>
      <c r="T24" s="49">
        <v>0.63700000000000001</v>
      </c>
      <c r="U24" s="28"/>
      <c r="V24" s="29">
        <v>4.3630000000000004</v>
      </c>
      <c r="W24" s="49">
        <f>W$19-SUM(V$19:V23)/V$28*(W$19-W$27)</f>
        <v>0.24400000000031552</v>
      </c>
      <c r="X24" s="53">
        <f>W24/T24</f>
        <v>0.3830455259031641</v>
      </c>
      <c r="Y24" s="5"/>
      <c r="Z24" s="5">
        <f>Z$18-SUM(V19:V24)/V$28*(Z$18-S$27)</f>
        <v>0</v>
      </c>
      <c r="AA24" s="5"/>
      <c r="AB24" s="5"/>
    </row>
    <row r="25" spans="3:28">
      <c r="I25" s="6"/>
      <c r="K25" s="5"/>
      <c r="L25" s="5"/>
      <c r="S25" s="5"/>
      <c r="V25" s="14"/>
      <c r="Y25" s="5"/>
    </row>
    <row r="26" spans="3:28">
      <c r="C26" s="15" t="s">
        <v>6</v>
      </c>
      <c r="D26" s="15"/>
      <c r="E26" s="15" t="s">
        <v>17</v>
      </c>
      <c r="F26" s="15">
        <v>23</v>
      </c>
      <c r="G26" s="15"/>
      <c r="H26" s="15" t="s">
        <v>11</v>
      </c>
      <c r="I26" s="31">
        <f>1/F26</f>
        <v>4.3478260869565216E-2</v>
      </c>
      <c r="J26" s="15"/>
      <c r="K26" s="17">
        <f>SUM(I26:I$26)/I$28*(K$19-K$27)+K$27</f>
        <v>0.38308587230799079</v>
      </c>
      <c r="L26" s="5"/>
      <c r="M26" s="5">
        <f>M$18-SUM(I19:I26)/I$28*(M$18-K$27)</f>
        <v>0</v>
      </c>
      <c r="P26" s="15" t="s">
        <v>6</v>
      </c>
      <c r="Q26" s="15"/>
      <c r="R26" s="15" t="s">
        <v>11</v>
      </c>
      <c r="S26" s="17">
        <f>K26</f>
        <v>0.38308587230799079</v>
      </c>
      <c r="T26" s="45">
        <v>0.628</v>
      </c>
      <c r="U26" s="15"/>
      <c r="V26" s="31">
        <v>9.5999999999999992E-3</v>
      </c>
      <c r="W26" s="46">
        <f>W$19-SUM(V$19:V26)/V$28*(W$19-W$27)</f>
        <v>0.24399999999999999</v>
      </c>
      <c r="X26" s="50">
        <f>W26/T26</f>
        <v>0.38853503184713373</v>
      </c>
      <c r="Y26" s="5"/>
      <c r="Z26" s="5">
        <f>Z$18-SUM(V19:V26)/V$28*(Z$18-S$27)</f>
        <v>0</v>
      </c>
      <c r="AA26" s="5"/>
      <c r="AB26" s="5"/>
    </row>
    <row r="27" spans="3:28">
      <c r="C27" s="10"/>
      <c r="D27" s="10"/>
      <c r="E27" s="10"/>
      <c r="F27" s="10"/>
      <c r="G27" s="10"/>
      <c r="H27" s="10"/>
      <c r="I27" s="10"/>
      <c r="J27" s="10"/>
      <c r="K27" s="13">
        <v>0</v>
      </c>
      <c r="L27" s="5"/>
      <c r="P27" s="10"/>
      <c r="Q27" s="10"/>
      <c r="R27" s="10"/>
      <c r="S27" s="13">
        <v>0</v>
      </c>
      <c r="T27" s="46">
        <v>0.61</v>
      </c>
      <c r="U27" s="10"/>
      <c r="V27" s="10"/>
      <c r="W27" s="46">
        <f>T27*0.4</f>
        <v>0.24399999999999999</v>
      </c>
      <c r="X27" s="10"/>
      <c r="Y27" s="5"/>
    </row>
    <row r="28" spans="3:28">
      <c r="C28" s="10"/>
      <c r="D28" s="10"/>
      <c r="E28" s="10"/>
      <c r="F28" s="10"/>
      <c r="G28" s="10"/>
      <c r="H28" s="11" t="s">
        <v>32</v>
      </c>
      <c r="I28" s="31">
        <f>SUM(I19:I26)</f>
        <v>2.2698963346061407</v>
      </c>
      <c r="J28" s="10" t="s">
        <v>24</v>
      </c>
      <c r="K28" s="10"/>
      <c r="P28" s="10"/>
      <c r="Q28" s="10"/>
      <c r="R28" s="11" t="s">
        <v>70</v>
      </c>
      <c r="S28" s="10"/>
      <c r="T28" s="10"/>
      <c r="U28" s="10"/>
      <c r="V28" s="58">
        <f>SUM(V19:V26)</f>
        <v>15740347222228.273</v>
      </c>
      <c r="W28" s="37" t="s">
        <v>76</v>
      </c>
      <c r="X28" s="10"/>
    </row>
    <row r="29" spans="3:28">
      <c r="C29" s="10"/>
      <c r="D29" s="10"/>
      <c r="E29" s="10"/>
      <c r="F29" s="10"/>
      <c r="G29" s="10"/>
      <c r="H29" s="11" t="s">
        <v>31</v>
      </c>
      <c r="I29" s="31">
        <f>1/I28</f>
        <v>0.4405487531541894</v>
      </c>
      <c r="J29" s="10" t="s">
        <v>25</v>
      </c>
      <c r="K29" s="10"/>
      <c r="P29" s="10"/>
      <c r="Q29" s="10"/>
      <c r="R29" s="11"/>
      <c r="S29" s="10"/>
      <c r="T29" s="10"/>
      <c r="U29" s="10"/>
      <c r="V29" s="10"/>
      <c r="W29" s="10"/>
      <c r="X29" s="10"/>
    </row>
    <row r="30" spans="3:28">
      <c r="H30" s="7"/>
      <c r="I30" s="8">
        <f>I29*0.86</f>
        <v>0.37887192771260286</v>
      </c>
      <c r="K30" s="2" t="s">
        <v>1</v>
      </c>
      <c r="N30" s="5"/>
      <c r="O30" s="9"/>
      <c r="R30" s="7"/>
    </row>
    <row r="33" spans="27:27">
      <c r="AA33" t="s">
        <v>75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3"/>
  <sheetViews>
    <sheetView workbookViewId="0"/>
  </sheetViews>
  <sheetFormatPr baseColWidth="12" defaultRowHeight="18" x14ac:dyDescent="0"/>
  <cols>
    <col min="1" max="2" width="6.625" customWidth="1"/>
    <col min="3" max="5" width="8.75" customWidth="1"/>
    <col min="9" max="9" width="4.625" customWidth="1"/>
    <col min="11" max="11" width="4.75" customWidth="1"/>
  </cols>
  <sheetData>
    <row r="3" spans="3:12">
      <c r="C3" t="s">
        <v>61</v>
      </c>
    </row>
    <row r="4" spans="3:12">
      <c r="C4" t="s">
        <v>62</v>
      </c>
    </row>
    <row r="5" spans="3:12">
      <c r="C5" s="72" t="s">
        <v>114</v>
      </c>
    </row>
    <row r="7" spans="3:12">
      <c r="C7" t="s">
        <v>63</v>
      </c>
    </row>
    <row r="8" spans="3:12">
      <c r="C8" s="72" t="s">
        <v>115</v>
      </c>
    </row>
    <row r="12" spans="3:12">
      <c r="C12" s="66" t="s">
        <v>90</v>
      </c>
      <c r="D12" s="66"/>
      <c r="E12" s="66"/>
      <c r="G12" s="66"/>
      <c r="H12" s="66" t="s">
        <v>93</v>
      </c>
      <c r="I12" s="66"/>
      <c r="J12" s="66" t="s">
        <v>96</v>
      </c>
    </row>
    <row r="13" spans="3:12">
      <c r="C13" s="66"/>
      <c r="D13" s="66" t="s">
        <v>93</v>
      </c>
      <c r="E13" s="66" t="s">
        <v>96</v>
      </c>
      <c r="G13" s="66" t="s">
        <v>109</v>
      </c>
      <c r="H13" s="66" t="s">
        <v>112</v>
      </c>
      <c r="I13" s="66"/>
      <c r="J13" s="66" t="s">
        <v>101</v>
      </c>
      <c r="L13" s="66" t="s">
        <v>104</v>
      </c>
    </row>
    <row r="14" spans="3:12">
      <c r="C14" s="66" t="s">
        <v>91</v>
      </c>
      <c r="D14" s="66" t="s">
        <v>94</v>
      </c>
      <c r="E14" s="66" t="s">
        <v>95</v>
      </c>
      <c r="G14" s="66"/>
      <c r="H14" s="66"/>
      <c r="I14" s="66"/>
      <c r="J14" s="66"/>
      <c r="L14" s="66"/>
    </row>
    <row r="15" spans="3:12">
      <c r="C15" s="66" t="s">
        <v>92</v>
      </c>
      <c r="D15" s="66" t="s">
        <v>95</v>
      </c>
      <c r="E15" s="66" t="s">
        <v>94</v>
      </c>
      <c r="G15" s="66" t="s">
        <v>108</v>
      </c>
      <c r="H15" s="66" t="s">
        <v>102</v>
      </c>
      <c r="I15" s="66"/>
      <c r="J15" s="66" t="s">
        <v>100</v>
      </c>
      <c r="L15" s="66" t="s">
        <v>105</v>
      </c>
    </row>
    <row r="16" spans="3:12">
      <c r="C16" s="66"/>
      <c r="D16" s="66"/>
      <c r="E16" s="66"/>
      <c r="G16" s="66"/>
      <c r="H16" s="66"/>
      <c r="I16" s="66"/>
      <c r="J16" s="66"/>
    </row>
    <row r="17" spans="3:12">
      <c r="C17" s="66" t="s">
        <v>97</v>
      </c>
      <c r="D17" s="66"/>
      <c r="E17" s="66"/>
      <c r="G17" s="66"/>
      <c r="H17" s="66"/>
      <c r="I17" s="66"/>
      <c r="J17" s="66"/>
    </row>
    <row r="18" spans="3:12">
      <c r="C18" s="66"/>
      <c r="D18" s="66" t="s">
        <v>93</v>
      </c>
      <c r="E18" s="66" t="s">
        <v>96</v>
      </c>
      <c r="G18" s="66" t="s">
        <v>110</v>
      </c>
      <c r="H18" s="66" t="s">
        <v>101</v>
      </c>
      <c r="I18" s="66"/>
      <c r="J18" s="66" t="s">
        <v>103</v>
      </c>
      <c r="L18" s="66" t="s">
        <v>106</v>
      </c>
    </row>
    <row r="19" spans="3:12">
      <c r="C19" s="66" t="s">
        <v>98</v>
      </c>
      <c r="D19" s="66" t="s">
        <v>95</v>
      </c>
      <c r="E19" s="66" t="s">
        <v>95</v>
      </c>
      <c r="G19" s="66"/>
      <c r="H19" s="66"/>
      <c r="I19" s="66"/>
      <c r="J19" s="66"/>
    </row>
    <row r="20" spans="3:12">
      <c r="C20" s="66" t="s">
        <v>99</v>
      </c>
      <c r="D20" s="66" t="s">
        <v>94</v>
      </c>
      <c r="E20" s="66" t="s">
        <v>94</v>
      </c>
      <c r="G20" s="66" t="s">
        <v>111</v>
      </c>
      <c r="H20" s="66" t="s">
        <v>113</v>
      </c>
      <c r="I20" s="66"/>
      <c r="J20" s="66" t="s">
        <v>102</v>
      </c>
      <c r="L20" s="66" t="s">
        <v>107</v>
      </c>
    </row>
    <row r="21" spans="3:12">
      <c r="G21" s="66"/>
      <c r="H21" s="66"/>
      <c r="I21" s="66"/>
      <c r="J21" s="66"/>
      <c r="L21" s="66"/>
    </row>
    <row r="22" spans="3:12">
      <c r="G22" s="66"/>
      <c r="H22" s="66"/>
      <c r="I22" s="66"/>
      <c r="J22" s="66"/>
      <c r="L22" s="66"/>
    </row>
    <row r="23" spans="3:12">
      <c r="G23" s="66"/>
      <c r="H23" s="66"/>
      <c r="I23" s="66"/>
      <c r="J23" s="66"/>
    </row>
  </sheetData>
  <phoneticPr fontId="2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/>
  </sheetViews>
  <sheetFormatPr baseColWidth="12" defaultColWidth="2.625" defaultRowHeight="18" x14ac:dyDescent="0"/>
  <cols>
    <col min="1" max="1" width="12.625" customWidth="1"/>
    <col min="2" max="2" width="5.125" customWidth="1"/>
  </cols>
  <sheetData>
    <row r="3" spans="2:2">
      <c r="B3" t="s">
        <v>129</v>
      </c>
    </row>
    <row r="4" spans="2:2">
      <c r="B4" t="s">
        <v>130</v>
      </c>
    </row>
  </sheetData>
  <phoneticPr fontId="2"/>
  <pageMargins left="0.7" right="0.7" top="0.75" bottom="0.75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2"/>
  <sheetViews>
    <sheetView workbookViewId="0"/>
  </sheetViews>
  <sheetFormatPr baseColWidth="12" defaultRowHeight="17" x14ac:dyDescent="0"/>
  <cols>
    <col min="1" max="2" width="4.25" style="32" customWidth="1"/>
    <col min="3" max="3" width="7.125" style="32" customWidth="1"/>
    <col min="4" max="4" width="4.125" style="32" customWidth="1"/>
    <col min="5" max="8" width="7" style="32" customWidth="1"/>
    <col min="9" max="9" width="7.125" style="32" customWidth="1"/>
    <col min="10" max="16384" width="12.625" style="32"/>
  </cols>
  <sheetData>
    <row r="3" spans="3:8">
      <c r="C3" s="32" t="s">
        <v>118</v>
      </c>
    </row>
    <row r="4" spans="3:8">
      <c r="C4" s="32" t="s">
        <v>33</v>
      </c>
      <c r="E4" s="33" t="s">
        <v>34</v>
      </c>
      <c r="F4" s="33" t="s">
        <v>35</v>
      </c>
      <c r="G4" s="33" t="s">
        <v>36</v>
      </c>
    </row>
    <row r="5" spans="3:8">
      <c r="C5" s="75">
        <f>E5/(F5-G5)</f>
        <v>130</v>
      </c>
      <c r="E5" s="36">
        <v>19.5</v>
      </c>
      <c r="F5" s="36">
        <v>0.15</v>
      </c>
      <c r="G5" s="36">
        <v>0</v>
      </c>
    </row>
    <row r="9" spans="3:8">
      <c r="C9" s="32" t="s">
        <v>119</v>
      </c>
    </row>
    <row r="10" spans="3:8" ht="41">
      <c r="C10" s="32" t="s">
        <v>33</v>
      </c>
      <c r="E10" s="79" t="s">
        <v>120</v>
      </c>
      <c r="F10" s="33" t="s">
        <v>121</v>
      </c>
      <c r="G10" s="79" t="s">
        <v>122</v>
      </c>
      <c r="H10" s="79" t="s">
        <v>123</v>
      </c>
    </row>
    <row r="11" spans="3:8">
      <c r="C11" s="80">
        <f>E11*F11/(G11-H11)</f>
        <v>30.76923076923077</v>
      </c>
      <c r="E11" s="36">
        <v>0.02</v>
      </c>
      <c r="F11" s="36">
        <v>1</v>
      </c>
      <c r="G11" s="36">
        <v>1E-3</v>
      </c>
      <c r="H11" s="36">
        <v>3.5E-4</v>
      </c>
    </row>
    <row r="14" spans="3:8" ht="29">
      <c r="C14" s="32" t="s">
        <v>33</v>
      </c>
      <c r="E14" s="79" t="s">
        <v>124</v>
      </c>
      <c r="F14" s="33" t="s">
        <v>125</v>
      </c>
      <c r="G14" s="79" t="s">
        <v>126</v>
      </c>
    </row>
    <row r="15" spans="3:8">
      <c r="C15" s="80">
        <f>E15*F15*G15</f>
        <v>151.79999999999998</v>
      </c>
      <c r="E15" s="36">
        <v>132</v>
      </c>
      <c r="F15" s="36">
        <v>2.2999999999999998</v>
      </c>
      <c r="G15" s="36">
        <v>0.5</v>
      </c>
    </row>
    <row r="18" spans="3:9">
      <c r="C18" s="32" t="s">
        <v>33</v>
      </c>
      <c r="E18" s="79" t="s">
        <v>128</v>
      </c>
      <c r="F18" s="33" t="s">
        <v>125</v>
      </c>
      <c r="G18" s="79" t="s">
        <v>126</v>
      </c>
      <c r="I18" s="33" t="s">
        <v>127</v>
      </c>
    </row>
    <row r="19" spans="3:9">
      <c r="C19" s="80">
        <f>E19*F19*G19</f>
        <v>11.177999999999999</v>
      </c>
      <c r="E19" s="36">
        <f>I19*0.9*1.8</f>
        <v>9.7200000000000006</v>
      </c>
      <c r="F19" s="36">
        <v>2.2999999999999998</v>
      </c>
      <c r="G19" s="36">
        <v>0.5</v>
      </c>
      <c r="I19" s="36">
        <v>6</v>
      </c>
    </row>
    <row r="21" spans="3:9">
      <c r="C21" s="32" t="s">
        <v>33</v>
      </c>
      <c r="E21" s="79" t="s">
        <v>128</v>
      </c>
      <c r="F21" s="33" t="s">
        <v>125</v>
      </c>
      <c r="G21" s="79" t="s">
        <v>126</v>
      </c>
      <c r="I21" s="33" t="s">
        <v>127</v>
      </c>
    </row>
    <row r="22" spans="3:9">
      <c r="C22" s="80">
        <f>E22*F22*G22</f>
        <v>44.711999999999996</v>
      </c>
      <c r="E22" s="36">
        <f>I22*0.9*1.8</f>
        <v>38.880000000000003</v>
      </c>
      <c r="F22" s="36">
        <v>2.2999999999999998</v>
      </c>
      <c r="G22" s="36">
        <v>0.5</v>
      </c>
      <c r="I22" s="36">
        <v>24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p90-PMV式</vt:lpstr>
      <vt:lpstr>p90-不快指数</vt:lpstr>
      <vt:lpstr>p96-放射熱伝達近似</vt:lpstr>
      <vt:lpstr>p97-サンプルケース</vt:lpstr>
      <vt:lpstr>p106&lt;Ch.1&gt;</vt:lpstr>
      <vt:lpstr>p111-サンプルケース</vt:lpstr>
      <vt:lpstr>p115&lt;Ch.2&gt;</vt:lpstr>
      <vt:lpstr>p125&lt;Ch.3&gt;</vt:lpstr>
      <vt:lpstr>p132-換気量計算</vt:lpstr>
    </vt:vector>
  </TitlesOfParts>
  <Company>実践女子大学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槙　究</dc:creator>
  <cp:lastModifiedBy>槙 究</cp:lastModifiedBy>
  <dcterms:created xsi:type="dcterms:W3CDTF">2001-09-18T05:13:58Z</dcterms:created>
  <dcterms:modified xsi:type="dcterms:W3CDTF">2014-04-27T10:42:31Z</dcterms:modified>
</cp:coreProperties>
</file>